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490" windowHeight="9495"/>
  </bookViews>
  <sheets>
    <sheet name="2017_ktgv" sheetId="9" r:id="rId1"/>
    <sheet name="1.mell.Kiadások" sheetId="8" r:id="rId2"/>
    <sheet name="2.mell.Bevételek" sheetId="5" r:id="rId3"/>
    <sheet name="3.mell.arányok" sheetId="6" r:id="rId4"/>
  </sheets>
  <definedNames>
    <definedName name="_xlnm.Print_Area" localSheetId="1">'1.mell.Kiadások'!$A$1:$S$39</definedName>
    <definedName name="_xlnm.Print_Area" localSheetId="2">'2.mell.Bevételek'!$A$1:$M$25</definedName>
    <definedName name="_xlnm.Print_Area" localSheetId="0">'2017_ktgv'!$A$1:$G$58</definedName>
  </definedNames>
  <calcPr calcId="152511"/>
</workbook>
</file>

<file path=xl/calcChain.xml><?xml version="1.0" encoding="utf-8"?>
<calcChain xmlns="http://schemas.openxmlformats.org/spreadsheetml/2006/main">
  <c r="O23" i="8" l="1"/>
  <c r="G23" i="8"/>
  <c r="M23" i="8" s="1"/>
  <c r="N23" i="8" l="1"/>
  <c r="S23" i="8" s="1"/>
  <c r="F45" i="9"/>
  <c r="F46" i="9"/>
  <c r="F47" i="9"/>
  <c r="F48" i="9"/>
  <c r="F49" i="9"/>
  <c r="F51" i="9"/>
  <c r="F37" i="9"/>
  <c r="F38" i="9"/>
  <c r="F39" i="9"/>
  <c r="I39" i="9" s="1"/>
  <c r="F9" i="9"/>
  <c r="F10" i="9"/>
  <c r="F11" i="9"/>
  <c r="F12" i="9"/>
  <c r="F13" i="9"/>
  <c r="F14" i="9"/>
  <c r="F15" i="9"/>
  <c r="F16" i="9"/>
  <c r="F17" i="9"/>
  <c r="F18" i="9"/>
  <c r="F20" i="9"/>
  <c r="F21" i="9"/>
  <c r="F22" i="9"/>
  <c r="F23" i="9"/>
  <c r="F24" i="9"/>
  <c r="E37" i="9"/>
  <c r="E39" i="9"/>
  <c r="E10" i="9"/>
  <c r="E11" i="9"/>
  <c r="E14" i="9"/>
  <c r="E15" i="9"/>
  <c r="E16" i="9"/>
  <c r="E18" i="9"/>
  <c r="E22" i="9"/>
  <c r="E24" i="9"/>
  <c r="E51" i="9"/>
  <c r="E46" i="9"/>
  <c r="E47" i="9"/>
  <c r="E45" i="9"/>
  <c r="G39" i="9" l="1"/>
  <c r="H39" i="9"/>
  <c r="L14" i="5"/>
  <c r="K14" i="5"/>
  <c r="J14" i="5"/>
  <c r="G12" i="5"/>
  <c r="L16" i="5"/>
  <c r="L17" i="5" s="1"/>
  <c r="F22" i="8"/>
  <c r="G22" i="8" s="1"/>
  <c r="G2" i="5"/>
  <c r="I2" i="5"/>
  <c r="I14" i="5" s="1"/>
  <c r="H2" i="5"/>
  <c r="H14" i="5" s="1"/>
  <c r="F20" i="8"/>
  <c r="F19" i="8"/>
  <c r="F16" i="8"/>
  <c r="F11" i="8"/>
  <c r="F10" i="8"/>
  <c r="M22" i="8" l="1"/>
  <c r="N22" i="8"/>
  <c r="O22" i="8"/>
  <c r="G14" i="5"/>
  <c r="S22" i="8" l="1"/>
  <c r="M14" i="5"/>
  <c r="F25" i="8" l="1"/>
  <c r="G25" i="8" s="1"/>
  <c r="M25" i="8" s="1"/>
  <c r="F24" i="8"/>
  <c r="F3" i="8"/>
  <c r="F4" i="8"/>
  <c r="F5" i="8"/>
  <c r="F6" i="8"/>
  <c r="F7" i="8"/>
  <c r="F8" i="8"/>
  <c r="G8" i="8" s="1"/>
  <c r="F9" i="8"/>
  <c r="F12" i="8"/>
  <c r="F13" i="8"/>
  <c r="F14" i="8"/>
  <c r="F15" i="8"/>
  <c r="F17" i="8"/>
  <c r="F18" i="8"/>
  <c r="F21" i="8"/>
  <c r="F2" i="8"/>
  <c r="F27" i="8" l="1"/>
  <c r="N25" i="8"/>
  <c r="O25" i="8"/>
  <c r="D50" i="9"/>
  <c r="D55" i="9" s="1"/>
  <c r="D44" i="9"/>
  <c r="D36" i="9"/>
  <c r="D29" i="9"/>
  <c r="D25" i="9"/>
  <c r="D19" i="9"/>
  <c r="D8" i="9"/>
  <c r="D35" i="9" l="1"/>
  <c r="D40" i="9" s="1"/>
  <c r="S25" i="8"/>
  <c r="M4" i="5"/>
  <c r="M5" i="5"/>
  <c r="M6" i="5"/>
  <c r="M7" i="5"/>
  <c r="M8" i="5"/>
  <c r="M9" i="5"/>
  <c r="M10" i="5"/>
  <c r="C11" i="5"/>
  <c r="G26" i="8" l="1"/>
  <c r="M26" i="8" s="1"/>
  <c r="E27" i="8"/>
  <c r="C4" i="8"/>
  <c r="C21" i="8"/>
  <c r="C19" i="8"/>
  <c r="C13" i="8"/>
  <c r="C3" i="8"/>
  <c r="C2" i="8"/>
  <c r="N26" i="8" l="1"/>
  <c r="O26" i="8"/>
  <c r="S26" i="8" s="1"/>
  <c r="G37" i="8" l="1"/>
  <c r="R27" i="8"/>
  <c r="G24" i="8" l="1"/>
  <c r="C17" i="8"/>
  <c r="M24" i="8" l="1"/>
  <c r="N24" i="8"/>
  <c r="O24" i="8"/>
  <c r="S24" i="8" l="1"/>
  <c r="D27" i="8"/>
  <c r="B27" i="8"/>
  <c r="G21" i="8"/>
  <c r="G20" i="8"/>
  <c r="G19" i="8"/>
  <c r="G18" i="8"/>
  <c r="G17" i="8"/>
  <c r="G12" i="8"/>
  <c r="G11" i="8"/>
  <c r="G10" i="8"/>
  <c r="G4" i="8"/>
  <c r="G5" i="8"/>
  <c r="G6" i="8"/>
  <c r="G7" i="8"/>
  <c r="G9" i="8"/>
  <c r="C16" i="8"/>
  <c r="C15" i="8"/>
  <c r="C14" i="8"/>
  <c r="G3" i="8"/>
  <c r="C27" i="8" l="1"/>
  <c r="G14" i="8"/>
  <c r="O14" i="8" s="1"/>
  <c r="N3" i="8"/>
  <c r="M3" i="8"/>
  <c r="O3" i="8"/>
  <c r="N9" i="8"/>
  <c r="O9" i="8"/>
  <c r="M9" i="8"/>
  <c r="G2" i="8"/>
  <c r="O6" i="8"/>
  <c r="M6" i="8"/>
  <c r="N6" i="8"/>
  <c r="O10" i="8"/>
  <c r="M10" i="8"/>
  <c r="N10" i="8"/>
  <c r="O18" i="8"/>
  <c r="M18" i="8"/>
  <c r="Q18" i="8"/>
  <c r="Q27" i="8" s="1"/>
  <c r="N18" i="8"/>
  <c r="O21" i="8"/>
  <c r="M21" i="8"/>
  <c r="N21" i="8"/>
  <c r="M19" i="8"/>
  <c r="N19" i="8"/>
  <c r="O19" i="8"/>
  <c r="N5" i="8"/>
  <c r="O5" i="8"/>
  <c r="M5" i="8"/>
  <c r="N11" i="8"/>
  <c r="O11" i="8"/>
  <c r="M11" i="8"/>
  <c r="G13" i="8"/>
  <c r="P17" i="8"/>
  <c r="P27" i="8" s="1"/>
  <c r="N17" i="8"/>
  <c r="O17" i="8"/>
  <c r="M17" i="8"/>
  <c r="O4" i="8"/>
  <c r="M4" i="8"/>
  <c r="N4" i="8"/>
  <c r="O8" i="8"/>
  <c r="M8" i="8"/>
  <c r="N8" i="8"/>
  <c r="O12" i="8"/>
  <c r="M12" i="8"/>
  <c r="N12" i="8"/>
  <c r="G16" i="8"/>
  <c r="O20" i="8"/>
  <c r="N20" i="8"/>
  <c r="M20" i="8"/>
  <c r="M7" i="8"/>
  <c r="N7" i="8"/>
  <c r="O7" i="8"/>
  <c r="G15" i="8"/>
  <c r="M12" i="5"/>
  <c r="M11" i="5"/>
  <c r="M3" i="5"/>
  <c r="M2" i="5"/>
  <c r="R32" i="8"/>
  <c r="R34" i="8" s="1"/>
  <c r="Q32" i="8"/>
  <c r="P32" i="8"/>
  <c r="O32" i="8"/>
  <c r="N32" i="8"/>
  <c r="M32" i="8"/>
  <c r="S31" i="8"/>
  <c r="S30" i="8"/>
  <c r="S29" i="8"/>
  <c r="S28" i="8"/>
  <c r="G27" i="8" l="1"/>
  <c r="M14" i="8"/>
  <c r="N14" i="8"/>
  <c r="S14" i="8" s="1"/>
  <c r="P2" i="5"/>
  <c r="R2" i="5"/>
  <c r="Q2" i="5"/>
  <c r="P34" i="8"/>
  <c r="J16" i="5" s="1"/>
  <c r="J17" i="5" s="1"/>
  <c r="S20" i="8"/>
  <c r="S5" i="8"/>
  <c r="S9" i="8"/>
  <c r="S8" i="8"/>
  <c r="S21" i="8"/>
  <c r="S18" i="8"/>
  <c r="S3" i="8"/>
  <c r="S12" i="8"/>
  <c r="S11" i="8"/>
  <c r="S19" i="8"/>
  <c r="S6" i="8"/>
  <c r="N15" i="8"/>
  <c r="M15" i="8"/>
  <c r="O15" i="8"/>
  <c r="M2" i="8"/>
  <c r="O2" i="8"/>
  <c r="N2" i="8"/>
  <c r="S17" i="8"/>
  <c r="N13" i="8"/>
  <c r="O13" i="8"/>
  <c r="M13" i="8"/>
  <c r="S7" i="8"/>
  <c r="O16" i="8"/>
  <c r="M16" i="8"/>
  <c r="N16" i="8"/>
  <c r="S4" i="8"/>
  <c r="Q34" i="8"/>
  <c r="K16" i="5" s="1"/>
  <c r="K17" i="5" s="1"/>
  <c r="S10" i="8"/>
  <c r="S32" i="8"/>
  <c r="M27" i="8" l="1"/>
  <c r="U27" i="8" s="1"/>
  <c r="S2" i="8"/>
  <c r="N27" i="8"/>
  <c r="S15" i="8"/>
  <c r="O27" i="8"/>
  <c r="S16" i="8"/>
  <c r="S13" i="8"/>
  <c r="N34" i="8" l="1"/>
  <c r="H16" i="5" s="1"/>
  <c r="H17" i="5" s="1"/>
  <c r="V27" i="8"/>
  <c r="O34" i="8"/>
  <c r="I16" i="5" s="1"/>
  <c r="I17" i="5" s="1"/>
  <c r="W27" i="8"/>
  <c r="S27" i="8"/>
  <c r="S34" i="8" s="1"/>
  <c r="M34" i="8"/>
  <c r="G16" i="5" s="1"/>
  <c r="C50" i="9"/>
  <c r="C44" i="9"/>
  <c r="C36" i="9"/>
  <c r="C29" i="9"/>
  <c r="C25" i="9"/>
  <c r="C19" i="9"/>
  <c r="C8" i="9"/>
  <c r="F8" i="9" l="1"/>
  <c r="E8" i="9"/>
  <c r="E50" i="9"/>
  <c r="F50" i="9"/>
  <c r="F44" i="9"/>
  <c r="E44" i="9"/>
  <c r="F36" i="9"/>
  <c r="E36" i="9"/>
  <c r="F19" i="9"/>
  <c r="E19" i="9"/>
  <c r="M16" i="5"/>
  <c r="G17" i="5"/>
  <c r="M17" i="5" s="1"/>
  <c r="C35" i="9"/>
  <c r="C55" i="9"/>
  <c r="B16" i="6"/>
  <c r="C16" i="6"/>
  <c r="D28" i="6"/>
  <c r="D27" i="6"/>
  <c r="D26" i="6"/>
  <c r="D25" i="6"/>
  <c r="D24" i="6"/>
  <c r="D23" i="6"/>
  <c r="D22" i="6"/>
  <c r="C29" i="6"/>
  <c r="B29" i="6"/>
  <c r="D21" i="6"/>
  <c r="D15" i="6"/>
  <c r="D14" i="6"/>
  <c r="D13" i="6"/>
  <c r="F55" i="9" l="1"/>
  <c r="E55" i="9"/>
  <c r="C40" i="9"/>
  <c r="F35" i="9"/>
  <c r="E35" i="9"/>
  <c r="D16" i="6"/>
  <c r="D29" i="6"/>
  <c r="F40" i="9" l="1"/>
  <c r="E40" i="9"/>
  <c r="B7" i="6"/>
  <c r="C6" i="6" l="1"/>
  <c r="C5" i="6"/>
  <c r="C4" i="6"/>
  <c r="C7" i="6" l="1"/>
  <c r="C14" i="5" l="1"/>
</calcChain>
</file>

<file path=xl/sharedStrings.xml><?xml version="1.0" encoding="utf-8"?>
<sst xmlns="http://schemas.openxmlformats.org/spreadsheetml/2006/main" count="218" uniqueCount="173">
  <si>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</si>
  <si>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</si>
  <si>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</si>
  <si>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</si>
  <si>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</si>
  <si>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</si>
  <si>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</si>
  <si>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</si>
  <si>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Személyi juttatások és bérjárulékok összesen:</t>
  </si>
  <si>
    <t>Bátaszék lakosságszám</t>
  </si>
  <si>
    <t>Alsónyék lakosságszám</t>
  </si>
  <si>
    <t>Alsónána lakosságszám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</si>
  <si>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</si>
  <si>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</si>
  <si>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</si>
  <si>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</si>
  <si>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</si>
  <si>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</si>
  <si>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MOB (Bátaszék)</t>
  </si>
  <si>
    <t>ESZGY (Bátaszék)</t>
  </si>
  <si>
    <t>Álláshelyek száma:</t>
  </si>
  <si>
    <t>Jegyzői személyi juttatások</t>
  </si>
  <si>
    <t xml:space="preserve">Aljegyző személyi juttatások </t>
  </si>
  <si>
    <t xml:space="preserve">Személyzet, kereskedelem </t>
  </si>
  <si>
    <t xml:space="preserve">Anyakönyvvezető személyi juttatás </t>
  </si>
  <si>
    <t xml:space="preserve">Informatika személyi juttatás </t>
  </si>
  <si>
    <t xml:space="preserve">Pénzügyes személyi juttatások (Alsónyék) </t>
  </si>
  <si>
    <t xml:space="preserve">Pénzügyes személyi juttatások (Alsónána) </t>
  </si>
  <si>
    <t>Pénzügyes személyi juttatások (Bátaszék)</t>
  </si>
  <si>
    <t>Pénzügyes személyi juttatások (MOB)</t>
  </si>
  <si>
    <t xml:space="preserve">Pénzügyes személyi juttatások (ESZGY) </t>
  </si>
  <si>
    <t>Adócsoport személyi juttatások</t>
  </si>
  <si>
    <t>Városüzemeltetési feladatok</t>
  </si>
  <si>
    <t>Iktatás személyi juttatás</t>
  </si>
  <si>
    <t xml:space="preserve">Titkárság személyi juttatás </t>
  </si>
  <si>
    <t>KÖH munkaszervezetre átvett társulásoktól</t>
  </si>
  <si>
    <t xml:space="preserve">Dologi kiadások </t>
  </si>
  <si>
    <t>Alsónána községháza fenntartása</t>
  </si>
  <si>
    <t>Alsónyék községháza fenntartása</t>
  </si>
  <si>
    <t>Bevétel mindösszesen:</t>
  </si>
  <si>
    <t>Kiadások megnevezése</t>
  </si>
  <si>
    <t>Költsg. Térítés</t>
  </si>
  <si>
    <t>MOB arányszám</t>
  </si>
  <si>
    <t>ESZGY arányszám</t>
  </si>
  <si>
    <t>MOB</t>
  </si>
  <si>
    <t>ESZGY</t>
  </si>
  <si>
    <t>Szennyvízes társulás</t>
  </si>
  <si>
    <t xml:space="preserve">Alsónyék helyben teljesítő alkalmazott </t>
  </si>
  <si>
    <t xml:space="preserve">Alsónána helyben teljesítő alkalmazott </t>
  </si>
  <si>
    <t xml:space="preserve">Szociális ügyek személyi juttatás </t>
  </si>
  <si>
    <t>MOB Társulás</t>
  </si>
  <si>
    <t>Pörböly</t>
  </si>
  <si>
    <t>Fő</t>
  </si>
  <si>
    <t>%</t>
  </si>
  <si>
    <t>Hozzájárulás</t>
  </si>
  <si>
    <t>Mórágy</t>
  </si>
  <si>
    <t>ESZGY Társulás</t>
  </si>
  <si>
    <t>Báta</t>
  </si>
  <si>
    <t>Sárpilis</t>
  </si>
  <si>
    <t>Várdomb</t>
  </si>
  <si>
    <t>Költségvetési szerv megnevezése</t>
  </si>
  <si>
    <t>Önkormányzati Közös Hivatal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</si>
  <si>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</si>
  <si>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</si>
  <si>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</si>
  <si>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</si>
  <si>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</si>
  <si>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</si>
  <si>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</si>
  <si>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</si>
  <si>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</si>
  <si>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</si>
  <si>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</si>
  <si>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</si>
  <si>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</si>
  <si>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1.3.</t>
  </si>
  <si>
    <t>1.4.</t>
  </si>
  <si>
    <t>Tulajdonosi bevételek</t>
  </si>
  <si>
    <t>1.5.</t>
  </si>
  <si>
    <t>Ellátási díjak</t>
  </si>
  <si>
    <t>1.6.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</si>
  <si>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</si>
  <si>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</si>
  <si>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</si>
  <si>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</si>
  <si>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</si>
  <si>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</si>
  <si>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</si>
  <si>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</si>
  <si>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</si>
  <si>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</si>
  <si>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</si>
  <si>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</si>
  <si>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</si>
  <si>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</si>
  <si>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</si>
  <si>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</si>
  <si>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</si>
  <si>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</si>
  <si>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</si>
  <si>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</si>
  <si>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</si>
  <si>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</si>
  <si>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</si>
  <si>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</si>
  <si>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</si>
  <si>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</si>
  <si>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</si>
  <si>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</si>
  <si>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</si>
  <si>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</si>
  <si>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</si>
  <si>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</si>
  <si>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</si>
  <si>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</si>
  <si>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</si>
  <si>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</si>
  <si>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</si>
  <si>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</si>
  <si>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</si>
  <si>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</si>
  <si>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</si>
  <si>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</si>
  <si>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</si>
  <si>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</si>
  <si>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</si>
  <si>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</si>
  <si>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</si>
  <si>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</si>
  <si>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</si>
  <si>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</si>
  <si>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</si>
  <si>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</si>
  <si>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</si>
  <si>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</si>
  <si>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</si>
  <si>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</si>
  <si>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</si>
  <si>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</si>
  <si>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</si>
  <si>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</si>
  <si>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</si>
  <si>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</si>
  <si>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</si>
  <si>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</si>
  <si>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</si>
  <si>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</si>
  <si>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2016. év</t>
  </si>
  <si>
    <t>Cafetéria</t>
  </si>
  <si>
    <t>Bér</t>
  </si>
  <si>
    <t>Járulékok</t>
  </si>
  <si>
    <t>Megbízási díjak</t>
  </si>
  <si>
    <t>KÖH-nek fizetendő</t>
  </si>
  <si>
    <t>Közterületfenntartás</t>
  </si>
  <si>
    <t>Rehab</t>
  </si>
  <si>
    <t>Előző évi maradvány</t>
  </si>
  <si>
    <t>Egyéb bevétel</t>
  </si>
  <si>
    <t>Reprezentáció</t>
  </si>
  <si>
    <t>Beruházás, eszközbeszerzés</t>
  </si>
  <si>
    <t>ÁFA visszatérülés</t>
  </si>
  <si>
    <t>Kamat</t>
  </si>
  <si>
    <t>2017. év</t>
  </si>
  <si>
    <t>Jutalom, jubileumi jutalom</t>
  </si>
  <si>
    <t>Települési referens</t>
  </si>
  <si>
    <t xml:space="preserve">Polgármesteri referens </t>
  </si>
  <si>
    <t>2016. január 1-jei lakosságszámok!</t>
  </si>
  <si>
    <t>Állami kompenzáció</t>
  </si>
  <si>
    <t>Saját bevételek:</t>
  </si>
  <si>
    <t>Költségtérítések</t>
  </si>
  <si>
    <t>. melléklet a ……/2017. (….) önkormányzati rendelethez</t>
  </si>
  <si>
    <t>9.2. melléklet a ……/2017. (….) önkormányzati rendelethez</t>
  </si>
  <si>
    <t xml:space="preserve">3 796 838 Ft (ennyi fizet a dolgozókra, levonva a községháza fennt. kiadását) </t>
  </si>
  <si>
    <t>3 525 704 Ft      (ennyi fizet a dolgozókra, levonva a községháza fennt. kiadását)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</si>
</sst>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4" fontId="0" fillId="0" borderId="1" xfId="0" applyNumberForma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ill="1"/>
    <xf numFmtId="10" fontId="0" fillId="0" borderId="0" xfId="0" applyNumberFormat="1" applyFill="1"/>
    <xf numFmtId="164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/>
    <xf numFmtId="0" fontId="1" fillId="0" borderId="0" xfId="0" applyFont="1"/>
    <xf numFmtId="0" fontId="1" fillId="0" borderId="0" xfId="0" applyFont="1" applyFill="1"/>
    <xf numFmtId="165" fontId="4" fillId="0" borderId="0" xfId="0" applyNumberFormat="1" applyFont="1" applyFill="1" applyAlignment="1" applyProtection="1">
      <alignment horizontal="left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5" fontId="4" fillId="0" borderId="0" xfId="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5" fontId="7" fillId="0" borderId="16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lef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 indent="1"/>
    </xf>
    <xf numFmtId="165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5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5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5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1" applyFont="1" applyFill="1" applyBorder="1" applyAlignment="1" applyProtection="1">
      <alignment horizontal="left" vertical="center" wrapText="1" indent="1"/>
    </xf>
    <xf numFmtId="165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quotePrefix="1" applyFont="1" applyFill="1" applyBorder="1" applyAlignment="1" applyProtection="1">
      <alignment horizontal="left" vertical="center" wrapText="1" indent="1"/>
    </xf>
    <xf numFmtId="165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5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1" xfId="0" applyFont="1" applyBorder="1" applyAlignment="1" applyProtection="1">
      <alignment horizontal="center" vertical="center" wrapText="1"/>
    </xf>
    <xf numFmtId="165" fontId="14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5" fontId="11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5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5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Fill="1" applyBorder="1" applyAlignment="1" applyProtection="1">
      <alignment horizontal="lef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0" applyFont="1" applyBorder="1"/>
    <xf numFmtId="3" fontId="20" fillId="0" borderId="1" xfId="0" applyNumberFormat="1" applyFont="1" applyBorder="1"/>
    <xf numFmtId="0" fontId="20" fillId="2" borderId="1" xfId="0" applyFont="1" applyFill="1" applyBorder="1"/>
    <xf numFmtId="0" fontId="21" fillId="2" borderId="1" xfId="0" applyFont="1" applyFill="1" applyBorder="1"/>
    <xf numFmtId="0" fontId="20" fillId="3" borderId="1" xfId="0" applyFont="1" applyFill="1" applyBorder="1"/>
    <xf numFmtId="0" fontId="21" fillId="4" borderId="1" xfId="0" applyFont="1" applyFill="1" applyBorder="1"/>
    <xf numFmtId="0" fontId="1" fillId="2" borderId="1" xfId="0" applyFont="1" applyFill="1" applyBorder="1"/>
    <xf numFmtId="0" fontId="22" fillId="0" borderId="1" xfId="0" applyFont="1" applyBorder="1"/>
    <xf numFmtId="3" fontId="22" fillId="0" borderId="1" xfId="0" applyNumberFormat="1" applyFont="1" applyBorder="1"/>
    <xf numFmtId="10" fontId="22" fillId="0" borderId="1" xfId="0" applyNumberFormat="1" applyFont="1" applyBorder="1"/>
    <xf numFmtId="3" fontId="23" fillId="0" borderId="1" xfId="0" applyNumberFormat="1" applyFont="1" applyBorder="1"/>
    <xf numFmtId="0" fontId="22" fillId="0" borderId="1" xfId="0" applyFont="1" applyFill="1" applyBorder="1"/>
    <xf numFmtId="10" fontId="22" fillId="0" borderId="1" xfId="0" applyNumberFormat="1" applyFont="1" applyFill="1" applyBorder="1"/>
    <xf numFmtId="0" fontId="22" fillId="2" borderId="1" xfId="0" applyFont="1" applyFill="1" applyBorder="1"/>
    <xf numFmtId="3" fontId="22" fillId="0" borderId="1" xfId="0" applyNumberFormat="1" applyFont="1" applyFill="1" applyBorder="1"/>
    <xf numFmtId="0" fontId="22" fillId="0" borderId="1" xfId="0" applyFont="1" applyBorder="1" applyAlignment="1">
      <alignment wrapText="1"/>
    </xf>
    <xf numFmtId="3" fontId="23" fillId="0" borderId="1" xfId="0" applyNumberFormat="1" applyFont="1" applyFill="1" applyBorder="1"/>
    <xf numFmtId="0" fontId="23" fillId="2" borderId="1" xfId="0" applyFont="1" applyFill="1" applyBorder="1"/>
    <xf numFmtId="4" fontId="23" fillId="2" borderId="1" xfId="0" applyNumberFormat="1" applyFont="1" applyFill="1" applyBorder="1"/>
    <xf numFmtId="3" fontId="22" fillId="2" borderId="1" xfId="0" applyNumberFormat="1" applyFont="1" applyFill="1" applyBorder="1"/>
    <xf numFmtId="3" fontId="22" fillId="6" borderId="1" xfId="0" applyNumberFormat="1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0" fontId="21" fillId="6" borderId="1" xfId="0" applyFont="1" applyFill="1" applyBorder="1"/>
    <xf numFmtId="0" fontId="23" fillId="7" borderId="1" xfId="0" applyFont="1" applyFill="1" applyBorder="1"/>
    <xf numFmtId="3" fontId="23" fillId="7" borderId="1" xfId="0" applyNumberFormat="1" applyFont="1" applyFill="1" applyBorder="1"/>
    <xf numFmtId="10" fontId="23" fillId="7" borderId="1" xfId="0" applyNumberFormat="1" applyFont="1" applyFill="1" applyBorder="1"/>
    <xf numFmtId="0" fontId="21" fillId="7" borderId="1" xfId="0" applyFont="1" applyFill="1" applyBorder="1"/>
    <xf numFmtId="0" fontId="0" fillId="7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25" fillId="0" borderId="1" xfId="1" applyFont="1" applyFill="1" applyBorder="1" applyAlignment="1" applyProtection="1">
      <alignment vertical="center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/>
    <xf numFmtId="0" fontId="0" fillId="7" borderId="1" xfId="0" applyFill="1" applyBorder="1"/>
    <xf numFmtId="0" fontId="1" fillId="7" borderId="1" xfId="0" applyFont="1" applyFill="1" applyBorder="1"/>
    <xf numFmtId="3" fontId="23" fillId="5" borderId="1" xfId="0" applyNumberFormat="1" applyFont="1" applyFill="1" applyBorder="1"/>
    <xf numFmtId="0" fontId="23" fillId="5" borderId="1" xfId="0" applyFont="1" applyFill="1" applyBorder="1"/>
    <xf numFmtId="0" fontId="24" fillId="6" borderId="1" xfId="0" applyFont="1" applyFill="1" applyBorder="1" applyAlignment="1">
      <alignment horizontal="left"/>
    </xf>
    <xf numFmtId="0" fontId="22" fillId="6" borderId="1" xfId="0" applyFont="1" applyFill="1" applyBorder="1"/>
    <xf numFmtId="4" fontId="22" fillId="6" borderId="1" xfId="0" applyNumberFormat="1" applyFont="1" applyFill="1" applyBorder="1"/>
    <xf numFmtId="0" fontId="27" fillId="5" borderId="1" xfId="0" applyFont="1" applyFill="1" applyBorder="1"/>
    <xf numFmtId="0" fontId="0" fillId="2" borderId="1" xfId="0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4" fontId="22" fillId="2" borderId="1" xfId="0" applyNumberFormat="1" applyFont="1" applyFill="1" applyBorder="1"/>
    <xf numFmtId="3" fontId="23" fillId="2" borderId="1" xfId="0" applyNumberFormat="1" applyFont="1" applyFill="1" applyBorder="1"/>
    <xf numFmtId="164" fontId="0" fillId="2" borderId="1" xfId="0" applyNumberFormat="1" applyFill="1" applyBorder="1"/>
    <xf numFmtId="164" fontId="21" fillId="2" borderId="1" xfId="0" applyNumberFormat="1" applyFont="1" applyFill="1" applyBorder="1"/>
    <xf numFmtId="3" fontId="23" fillId="2" borderId="1" xfId="0" applyNumberFormat="1" applyFont="1" applyFill="1" applyBorder="1" applyAlignment="1">
      <alignment wrapText="1"/>
    </xf>
    <xf numFmtId="0" fontId="0" fillId="8" borderId="0" xfId="0" applyFill="1"/>
    <xf numFmtId="3" fontId="0" fillId="8" borderId="0" xfId="0" applyNumberFormat="1" applyFill="1"/>
    <xf numFmtId="0" fontId="27" fillId="2" borderId="1" xfId="0" applyFont="1" applyFill="1" applyBorder="1"/>
    <xf numFmtId="0" fontId="27" fillId="0" borderId="1" xfId="0" applyFont="1" applyBorder="1"/>
    <xf numFmtId="0" fontId="23" fillId="0" borderId="1" xfId="0" applyFont="1" applyBorder="1"/>
    <xf numFmtId="0" fontId="20" fillId="0" borderId="1" xfId="0" applyFont="1" applyFill="1" applyBorder="1"/>
    <xf numFmtId="164" fontId="0" fillId="0" borderId="0" xfId="0" applyNumberForma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3" fontId="8" fillId="0" borderId="0" xfId="0" applyNumberFormat="1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28" zoomScaleNormal="100" workbookViewId="0">
      <selection activeCell="M46" sqref="M46"/>
    </sheetView>
  </sheetViews>
  <sheetFormatPr defaultColWidth="9.28515625" defaultRowHeight="15" x14ac:dyDescent="0.25"/>
  <cols>
    <col min="1" max="1" width="13.7109375" style="84" customWidth="1"/>
    <col min="2" max="2" width="46.140625" style="32" bestFit="1" customWidth="1"/>
    <col min="3" max="4" width="12.7109375" style="32" customWidth="1"/>
    <col min="5" max="5" width="11.5703125" style="32" bestFit="1" customWidth="1"/>
    <col min="6" max="6" width="9.28515625" style="147"/>
    <col min="7" max="251" width="9.28515625" style="32"/>
    <col min="252" max="252" width="13.7109375" style="32" customWidth="1"/>
    <col min="253" max="253" width="46.140625" style="32" bestFit="1" customWidth="1"/>
    <col min="254" max="254" width="12.7109375" style="32" customWidth="1"/>
    <col min="255" max="255" width="9.28515625" style="32"/>
    <col min="256" max="256" width="14" style="32" customWidth="1"/>
    <col min="257" max="257" width="9.28515625" style="32"/>
    <col min="258" max="258" width="12.7109375" style="32" customWidth="1"/>
    <col min="259" max="507" width="9.28515625" style="32"/>
    <col min="508" max="508" width="13.7109375" style="32" customWidth="1"/>
    <col min="509" max="509" width="46.140625" style="32" bestFit="1" customWidth="1"/>
    <col min="510" max="510" width="12.7109375" style="32" customWidth="1"/>
    <col min="511" max="511" width="9.28515625" style="32"/>
    <col min="512" max="512" width="14" style="32" customWidth="1"/>
    <col min="513" max="513" width="9.28515625" style="32"/>
    <col min="514" max="514" width="12.7109375" style="32" customWidth="1"/>
    <col min="515" max="763" width="9.28515625" style="32"/>
    <col min="764" max="764" width="13.7109375" style="32" customWidth="1"/>
    <col min="765" max="765" width="46.140625" style="32" bestFit="1" customWidth="1"/>
    <col min="766" max="766" width="12.7109375" style="32" customWidth="1"/>
    <col min="767" max="767" width="9.28515625" style="32"/>
    <col min="768" max="768" width="14" style="32" customWidth="1"/>
    <col min="769" max="769" width="9.28515625" style="32"/>
    <col min="770" max="770" width="12.7109375" style="32" customWidth="1"/>
    <col min="771" max="1019" width="9.28515625" style="32"/>
    <col min="1020" max="1020" width="13.7109375" style="32" customWidth="1"/>
    <col min="1021" max="1021" width="46.140625" style="32" bestFit="1" customWidth="1"/>
    <col min="1022" max="1022" width="12.7109375" style="32" customWidth="1"/>
    <col min="1023" max="1023" width="9.28515625" style="32"/>
    <col min="1024" max="1024" width="14" style="32" customWidth="1"/>
    <col min="1025" max="1025" width="9.28515625" style="32"/>
    <col min="1026" max="1026" width="12.7109375" style="32" customWidth="1"/>
    <col min="1027" max="1275" width="9.28515625" style="32"/>
    <col min="1276" max="1276" width="13.7109375" style="32" customWidth="1"/>
    <col min="1277" max="1277" width="46.140625" style="32" bestFit="1" customWidth="1"/>
    <col min="1278" max="1278" width="12.7109375" style="32" customWidth="1"/>
    <col min="1279" max="1279" width="9.28515625" style="32"/>
    <col min="1280" max="1280" width="14" style="32" customWidth="1"/>
    <col min="1281" max="1281" width="9.28515625" style="32"/>
    <col min="1282" max="1282" width="12.7109375" style="32" customWidth="1"/>
    <col min="1283" max="1531" width="9.28515625" style="32"/>
    <col min="1532" max="1532" width="13.7109375" style="32" customWidth="1"/>
    <col min="1533" max="1533" width="46.140625" style="32" bestFit="1" customWidth="1"/>
    <col min="1534" max="1534" width="12.7109375" style="32" customWidth="1"/>
    <col min="1535" max="1535" width="9.28515625" style="32"/>
    <col min="1536" max="1536" width="14" style="32" customWidth="1"/>
    <col min="1537" max="1537" width="9.28515625" style="32"/>
    <col min="1538" max="1538" width="12.7109375" style="32" customWidth="1"/>
    <col min="1539" max="1787" width="9.28515625" style="32"/>
    <col min="1788" max="1788" width="13.7109375" style="32" customWidth="1"/>
    <col min="1789" max="1789" width="46.140625" style="32" bestFit="1" customWidth="1"/>
    <col min="1790" max="1790" width="12.7109375" style="32" customWidth="1"/>
    <col min="1791" max="1791" width="9.28515625" style="32"/>
    <col min="1792" max="1792" width="14" style="32" customWidth="1"/>
    <col min="1793" max="1793" width="9.28515625" style="32"/>
    <col min="1794" max="1794" width="12.7109375" style="32" customWidth="1"/>
    <col min="1795" max="2043" width="9.28515625" style="32"/>
    <col min="2044" max="2044" width="13.7109375" style="32" customWidth="1"/>
    <col min="2045" max="2045" width="46.140625" style="32" bestFit="1" customWidth="1"/>
    <col min="2046" max="2046" width="12.7109375" style="32" customWidth="1"/>
    <col min="2047" max="2047" width="9.28515625" style="32"/>
    <col min="2048" max="2048" width="14" style="32" customWidth="1"/>
    <col min="2049" max="2049" width="9.28515625" style="32"/>
    <col min="2050" max="2050" width="12.7109375" style="32" customWidth="1"/>
    <col min="2051" max="2299" width="9.28515625" style="32"/>
    <col min="2300" max="2300" width="13.7109375" style="32" customWidth="1"/>
    <col min="2301" max="2301" width="46.140625" style="32" bestFit="1" customWidth="1"/>
    <col min="2302" max="2302" width="12.7109375" style="32" customWidth="1"/>
    <col min="2303" max="2303" width="9.28515625" style="32"/>
    <col min="2304" max="2304" width="14" style="32" customWidth="1"/>
    <col min="2305" max="2305" width="9.28515625" style="32"/>
    <col min="2306" max="2306" width="12.7109375" style="32" customWidth="1"/>
    <col min="2307" max="2555" width="9.28515625" style="32"/>
    <col min="2556" max="2556" width="13.7109375" style="32" customWidth="1"/>
    <col min="2557" max="2557" width="46.140625" style="32" bestFit="1" customWidth="1"/>
    <col min="2558" max="2558" width="12.7109375" style="32" customWidth="1"/>
    <col min="2559" max="2559" width="9.28515625" style="32"/>
    <col min="2560" max="2560" width="14" style="32" customWidth="1"/>
    <col min="2561" max="2561" width="9.28515625" style="32"/>
    <col min="2562" max="2562" width="12.7109375" style="32" customWidth="1"/>
    <col min="2563" max="2811" width="9.28515625" style="32"/>
    <col min="2812" max="2812" width="13.7109375" style="32" customWidth="1"/>
    <col min="2813" max="2813" width="46.140625" style="32" bestFit="1" customWidth="1"/>
    <col min="2814" max="2814" width="12.7109375" style="32" customWidth="1"/>
    <col min="2815" max="2815" width="9.28515625" style="32"/>
    <col min="2816" max="2816" width="14" style="32" customWidth="1"/>
    <col min="2817" max="2817" width="9.28515625" style="32"/>
    <col min="2818" max="2818" width="12.7109375" style="32" customWidth="1"/>
    <col min="2819" max="3067" width="9.28515625" style="32"/>
    <col min="3068" max="3068" width="13.7109375" style="32" customWidth="1"/>
    <col min="3069" max="3069" width="46.140625" style="32" bestFit="1" customWidth="1"/>
    <col min="3070" max="3070" width="12.7109375" style="32" customWidth="1"/>
    <col min="3071" max="3071" width="9.28515625" style="32"/>
    <col min="3072" max="3072" width="14" style="32" customWidth="1"/>
    <col min="3073" max="3073" width="9.28515625" style="32"/>
    <col min="3074" max="3074" width="12.7109375" style="32" customWidth="1"/>
    <col min="3075" max="3323" width="9.28515625" style="32"/>
    <col min="3324" max="3324" width="13.7109375" style="32" customWidth="1"/>
    <col min="3325" max="3325" width="46.140625" style="32" bestFit="1" customWidth="1"/>
    <col min="3326" max="3326" width="12.7109375" style="32" customWidth="1"/>
    <col min="3327" max="3327" width="9.28515625" style="32"/>
    <col min="3328" max="3328" width="14" style="32" customWidth="1"/>
    <col min="3329" max="3329" width="9.28515625" style="32"/>
    <col min="3330" max="3330" width="12.7109375" style="32" customWidth="1"/>
    <col min="3331" max="3579" width="9.28515625" style="32"/>
    <col min="3580" max="3580" width="13.7109375" style="32" customWidth="1"/>
    <col min="3581" max="3581" width="46.140625" style="32" bestFit="1" customWidth="1"/>
    <col min="3582" max="3582" width="12.7109375" style="32" customWidth="1"/>
    <col min="3583" max="3583" width="9.28515625" style="32"/>
    <col min="3584" max="3584" width="14" style="32" customWidth="1"/>
    <col min="3585" max="3585" width="9.28515625" style="32"/>
    <col min="3586" max="3586" width="12.7109375" style="32" customWidth="1"/>
    <col min="3587" max="3835" width="9.28515625" style="32"/>
    <col min="3836" max="3836" width="13.7109375" style="32" customWidth="1"/>
    <col min="3837" max="3837" width="46.140625" style="32" bestFit="1" customWidth="1"/>
    <col min="3838" max="3838" width="12.7109375" style="32" customWidth="1"/>
    <col min="3839" max="3839" width="9.28515625" style="32"/>
    <col min="3840" max="3840" width="14" style="32" customWidth="1"/>
    <col min="3841" max="3841" width="9.28515625" style="32"/>
    <col min="3842" max="3842" width="12.7109375" style="32" customWidth="1"/>
    <col min="3843" max="4091" width="9.28515625" style="32"/>
    <col min="4092" max="4092" width="13.7109375" style="32" customWidth="1"/>
    <col min="4093" max="4093" width="46.140625" style="32" bestFit="1" customWidth="1"/>
    <col min="4094" max="4094" width="12.7109375" style="32" customWidth="1"/>
    <col min="4095" max="4095" width="9.28515625" style="32"/>
    <col min="4096" max="4096" width="14" style="32" customWidth="1"/>
    <col min="4097" max="4097" width="9.28515625" style="32"/>
    <col min="4098" max="4098" width="12.7109375" style="32" customWidth="1"/>
    <col min="4099" max="4347" width="9.28515625" style="32"/>
    <col min="4348" max="4348" width="13.7109375" style="32" customWidth="1"/>
    <col min="4349" max="4349" width="46.140625" style="32" bestFit="1" customWidth="1"/>
    <col min="4350" max="4350" width="12.7109375" style="32" customWidth="1"/>
    <col min="4351" max="4351" width="9.28515625" style="32"/>
    <col min="4352" max="4352" width="14" style="32" customWidth="1"/>
    <col min="4353" max="4353" width="9.28515625" style="32"/>
    <col min="4354" max="4354" width="12.7109375" style="32" customWidth="1"/>
    <col min="4355" max="4603" width="9.28515625" style="32"/>
    <col min="4604" max="4604" width="13.7109375" style="32" customWidth="1"/>
    <col min="4605" max="4605" width="46.140625" style="32" bestFit="1" customWidth="1"/>
    <col min="4606" max="4606" width="12.7109375" style="32" customWidth="1"/>
    <col min="4607" max="4607" width="9.28515625" style="32"/>
    <col min="4608" max="4608" width="14" style="32" customWidth="1"/>
    <col min="4609" max="4609" width="9.28515625" style="32"/>
    <col min="4610" max="4610" width="12.7109375" style="32" customWidth="1"/>
    <col min="4611" max="4859" width="9.28515625" style="32"/>
    <col min="4860" max="4860" width="13.7109375" style="32" customWidth="1"/>
    <col min="4861" max="4861" width="46.140625" style="32" bestFit="1" customWidth="1"/>
    <col min="4862" max="4862" width="12.7109375" style="32" customWidth="1"/>
    <col min="4863" max="4863" width="9.28515625" style="32"/>
    <col min="4864" max="4864" width="14" style="32" customWidth="1"/>
    <col min="4865" max="4865" width="9.28515625" style="32"/>
    <col min="4866" max="4866" width="12.7109375" style="32" customWidth="1"/>
    <col min="4867" max="5115" width="9.28515625" style="32"/>
    <col min="5116" max="5116" width="13.7109375" style="32" customWidth="1"/>
    <col min="5117" max="5117" width="46.140625" style="32" bestFit="1" customWidth="1"/>
    <col min="5118" max="5118" width="12.7109375" style="32" customWidth="1"/>
    <col min="5119" max="5119" width="9.28515625" style="32"/>
    <col min="5120" max="5120" width="14" style="32" customWidth="1"/>
    <col min="5121" max="5121" width="9.28515625" style="32"/>
    <col min="5122" max="5122" width="12.7109375" style="32" customWidth="1"/>
    <col min="5123" max="5371" width="9.28515625" style="32"/>
    <col min="5372" max="5372" width="13.7109375" style="32" customWidth="1"/>
    <col min="5373" max="5373" width="46.140625" style="32" bestFit="1" customWidth="1"/>
    <col min="5374" max="5374" width="12.7109375" style="32" customWidth="1"/>
    <col min="5375" max="5375" width="9.28515625" style="32"/>
    <col min="5376" max="5376" width="14" style="32" customWidth="1"/>
    <col min="5377" max="5377" width="9.28515625" style="32"/>
    <col min="5378" max="5378" width="12.7109375" style="32" customWidth="1"/>
    <col min="5379" max="5627" width="9.28515625" style="32"/>
    <col min="5628" max="5628" width="13.7109375" style="32" customWidth="1"/>
    <col min="5629" max="5629" width="46.140625" style="32" bestFit="1" customWidth="1"/>
    <col min="5630" max="5630" width="12.7109375" style="32" customWidth="1"/>
    <col min="5631" max="5631" width="9.28515625" style="32"/>
    <col min="5632" max="5632" width="14" style="32" customWidth="1"/>
    <col min="5633" max="5633" width="9.28515625" style="32"/>
    <col min="5634" max="5634" width="12.7109375" style="32" customWidth="1"/>
    <col min="5635" max="5883" width="9.28515625" style="32"/>
    <col min="5884" max="5884" width="13.7109375" style="32" customWidth="1"/>
    <col min="5885" max="5885" width="46.140625" style="32" bestFit="1" customWidth="1"/>
    <col min="5886" max="5886" width="12.7109375" style="32" customWidth="1"/>
    <col min="5887" max="5887" width="9.28515625" style="32"/>
    <col min="5888" max="5888" width="14" style="32" customWidth="1"/>
    <col min="5889" max="5889" width="9.28515625" style="32"/>
    <col min="5890" max="5890" width="12.7109375" style="32" customWidth="1"/>
    <col min="5891" max="6139" width="9.28515625" style="32"/>
    <col min="6140" max="6140" width="13.7109375" style="32" customWidth="1"/>
    <col min="6141" max="6141" width="46.140625" style="32" bestFit="1" customWidth="1"/>
    <col min="6142" max="6142" width="12.7109375" style="32" customWidth="1"/>
    <col min="6143" max="6143" width="9.28515625" style="32"/>
    <col min="6144" max="6144" width="14" style="32" customWidth="1"/>
    <col min="6145" max="6145" width="9.28515625" style="32"/>
    <col min="6146" max="6146" width="12.7109375" style="32" customWidth="1"/>
    <col min="6147" max="6395" width="9.28515625" style="32"/>
    <col min="6396" max="6396" width="13.7109375" style="32" customWidth="1"/>
    <col min="6397" max="6397" width="46.140625" style="32" bestFit="1" customWidth="1"/>
    <col min="6398" max="6398" width="12.7109375" style="32" customWidth="1"/>
    <col min="6399" max="6399" width="9.28515625" style="32"/>
    <col min="6400" max="6400" width="14" style="32" customWidth="1"/>
    <col min="6401" max="6401" width="9.28515625" style="32"/>
    <col min="6402" max="6402" width="12.7109375" style="32" customWidth="1"/>
    <col min="6403" max="6651" width="9.28515625" style="32"/>
    <col min="6652" max="6652" width="13.7109375" style="32" customWidth="1"/>
    <col min="6653" max="6653" width="46.140625" style="32" bestFit="1" customWidth="1"/>
    <col min="6654" max="6654" width="12.7109375" style="32" customWidth="1"/>
    <col min="6655" max="6655" width="9.28515625" style="32"/>
    <col min="6656" max="6656" width="14" style="32" customWidth="1"/>
    <col min="6657" max="6657" width="9.28515625" style="32"/>
    <col min="6658" max="6658" width="12.7109375" style="32" customWidth="1"/>
    <col min="6659" max="6907" width="9.28515625" style="32"/>
    <col min="6908" max="6908" width="13.7109375" style="32" customWidth="1"/>
    <col min="6909" max="6909" width="46.140625" style="32" bestFit="1" customWidth="1"/>
    <col min="6910" max="6910" width="12.7109375" style="32" customWidth="1"/>
    <col min="6911" max="6911" width="9.28515625" style="32"/>
    <col min="6912" max="6912" width="14" style="32" customWidth="1"/>
    <col min="6913" max="6913" width="9.28515625" style="32"/>
    <col min="6914" max="6914" width="12.7109375" style="32" customWidth="1"/>
    <col min="6915" max="7163" width="9.28515625" style="32"/>
    <col min="7164" max="7164" width="13.7109375" style="32" customWidth="1"/>
    <col min="7165" max="7165" width="46.140625" style="32" bestFit="1" customWidth="1"/>
    <col min="7166" max="7166" width="12.7109375" style="32" customWidth="1"/>
    <col min="7167" max="7167" width="9.28515625" style="32"/>
    <col min="7168" max="7168" width="14" style="32" customWidth="1"/>
    <col min="7169" max="7169" width="9.28515625" style="32"/>
    <col min="7170" max="7170" width="12.7109375" style="32" customWidth="1"/>
    <col min="7171" max="7419" width="9.28515625" style="32"/>
    <col min="7420" max="7420" width="13.7109375" style="32" customWidth="1"/>
    <col min="7421" max="7421" width="46.140625" style="32" bestFit="1" customWidth="1"/>
    <col min="7422" max="7422" width="12.7109375" style="32" customWidth="1"/>
    <col min="7423" max="7423" width="9.28515625" style="32"/>
    <col min="7424" max="7424" width="14" style="32" customWidth="1"/>
    <col min="7425" max="7425" width="9.28515625" style="32"/>
    <col min="7426" max="7426" width="12.7109375" style="32" customWidth="1"/>
    <col min="7427" max="7675" width="9.28515625" style="32"/>
    <col min="7676" max="7676" width="13.7109375" style="32" customWidth="1"/>
    <col min="7677" max="7677" width="46.140625" style="32" bestFit="1" customWidth="1"/>
    <col min="7678" max="7678" width="12.7109375" style="32" customWidth="1"/>
    <col min="7679" max="7679" width="9.28515625" style="32"/>
    <col min="7680" max="7680" width="14" style="32" customWidth="1"/>
    <col min="7681" max="7681" width="9.28515625" style="32"/>
    <col min="7682" max="7682" width="12.7109375" style="32" customWidth="1"/>
    <col min="7683" max="7931" width="9.28515625" style="32"/>
    <col min="7932" max="7932" width="13.7109375" style="32" customWidth="1"/>
    <col min="7933" max="7933" width="46.140625" style="32" bestFit="1" customWidth="1"/>
    <col min="7934" max="7934" width="12.7109375" style="32" customWidth="1"/>
    <col min="7935" max="7935" width="9.28515625" style="32"/>
    <col min="7936" max="7936" width="14" style="32" customWidth="1"/>
    <col min="7937" max="7937" width="9.28515625" style="32"/>
    <col min="7938" max="7938" width="12.7109375" style="32" customWidth="1"/>
    <col min="7939" max="8187" width="9.28515625" style="32"/>
    <col min="8188" max="8188" width="13.7109375" style="32" customWidth="1"/>
    <col min="8189" max="8189" width="46.140625" style="32" bestFit="1" customWidth="1"/>
    <col min="8190" max="8190" width="12.7109375" style="32" customWidth="1"/>
    <col min="8191" max="8191" width="9.28515625" style="32"/>
    <col min="8192" max="8192" width="14" style="32" customWidth="1"/>
    <col min="8193" max="8193" width="9.28515625" style="32"/>
    <col min="8194" max="8194" width="12.7109375" style="32" customWidth="1"/>
    <col min="8195" max="8443" width="9.28515625" style="32"/>
    <col min="8444" max="8444" width="13.7109375" style="32" customWidth="1"/>
    <col min="8445" max="8445" width="46.140625" style="32" bestFit="1" customWidth="1"/>
    <col min="8446" max="8446" width="12.7109375" style="32" customWidth="1"/>
    <col min="8447" max="8447" width="9.28515625" style="32"/>
    <col min="8448" max="8448" width="14" style="32" customWidth="1"/>
    <col min="8449" max="8449" width="9.28515625" style="32"/>
    <col min="8450" max="8450" width="12.7109375" style="32" customWidth="1"/>
    <col min="8451" max="8699" width="9.28515625" style="32"/>
    <col min="8700" max="8700" width="13.7109375" style="32" customWidth="1"/>
    <col min="8701" max="8701" width="46.140625" style="32" bestFit="1" customWidth="1"/>
    <col min="8702" max="8702" width="12.7109375" style="32" customWidth="1"/>
    <col min="8703" max="8703" width="9.28515625" style="32"/>
    <col min="8704" max="8704" width="14" style="32" customWidth="1"/>
    <col min="8705" max="8705" width="9.28515625" style="32"/>
    <col min="8706" max="8706" width="12.7109375" style="32" customWidth="1"/>
    <col min="8707" max="8955" width="9.28515625" style="32"/>
    <col min="8956" max="8956" width="13.7109375" style="32" customWidth="1"/>
    <col min="8957" max="8957" width="46.140625" style="32" bestFit="1" customWidth="1"/>
    <col min="8958" max="8958" width="12.7109375" style="32" customWidth="1"/>
    <col min="8959" max="8959" width="9.28515625" style="32"/>
    <col min="8960" max="8960" width="14" style="32" customWidth="1"/>
    <col min="8961" max="8961" width="9.28515625" style="32"/>
    <col min="8962" max="8962" width="12.7109375" style="32" customWidth="1"/>
    <col min="8963" max="9211" width="9.28515625" style="32"/>
    <col min="9212" max="9212" width="13.7109375" style="32" customWidth="1"/>
    <col min="9213" max="9213" width="46.140625" style="32" bestFit="1" customWidth="1"/>
    <col min="9214" max="9214" width="12.7109375" style="32" customWidth="1"/>
    <col min="9215" max="9215" width="9.28515625" style="32"/>
    <col min="9216" max="9216" width="14" style="32" customWidth="1"/>
    <col min="9217" max="9217" width="9.28515625" style="32"/>
    <col min="9218" max="9218" width="12.7109375" style="32" customWidth="1"/>
    <col min="9219" max="9467" width="9.28515625" style="32"/>
    <col min="9468" max="9468" width="13.7109375" style="32" customWidth="1"/>
    <col min="9469" max="9469" width="46.140625" style="32" bestFit="1" customWidth="1"/>
    <col min="9470" max="9470" width="12.7109375" style="32" customWidth="1"/>
    <col min="9471" max="9471" width="9.28515625" style="32"/>
    <col min="9472" max="9472" width="14" style="32" customWidth="1"/>
    <col min="9473" max="9473" width="9.28515625" style="32"/>
    <col min="9474" max="9474" width="12.7109375" style="32" customWidth="1"/>
    <col min="9475" max="9723" width="9.28515625" style="32"/>
    <col min="9724" max="9724" width="13.7109375" style="32" customWidth="1"/>
    <col min="9725" max="9725" width="46.140625" style="32" bestFit="1" customWidth="1"/>
    <col min="9726" max="9726" width="12.7109375" style="32" customWidth="1"/>
    <col min="9727" max="9727" width="9.28515625" style="32"/>
    <col min="9728" max="9728" width="14" style="32" customWidth="1"/>
    <col min="9729" max="9729" width="9.28515625" style="32"/>
    <col min="9730" max="9730" width="12.7109375" style="32" customWidth="1"/>
    <col min="9731" max="9979" width="9.28515625" style="32"/>
    <col min="9980" max="9980" width="13.7109375" style="32" customWidth="1"/>
    <col min="9981" max="9981" width="46.140625" style="32" bestFit="1" customWidth="1"/>
    <col min="9982" max="9982" width="12.7109375" style="32" customWidth="1"/>
    <col min="9983" max="9983" width="9.28515625" style="32"/>
    <col min="9984" max="9984" width="14" style="32" customWidth="1"/>
    <col min="9985" max="9985" width="9.28515625" style="32"/>
    <col min="9986" max="9986" width="12.7109375" style="32" customWidth="1"/>
    <col min="9987" max="10235" width="9.28515625" style="32"/>
    <col min="10236" max="10236" width="13.7109375" style="32" customWidth="1"/>
    <col min="10237" max="10237" width="46.140625" style="32" bestFit="1" customWidth="1"/>
    <col min="10238" max="10238" width="12.7109375" style="32" customWidth="1"/>
    <col min="10239" max="10239" width="9.28515625" style="32"/>
    <col min="10240" max="10240" width="14" style="32" customWidth="1"/>
    <col min="10241" max="10241" width="9.28515625" style="32"/>
    <col min="10242" max="10242" width="12.7109375" style="32" customWidth="1"/>
    <col min="10243" max="10491" width="9.28515625" style="32"/>
    <col min="10492" max="10492" width="13.7109375" style="32" customWidth="1"/>
    <col min="10493" max="10493" width="46.140625" style="32" bestFit="1" customWidth="1"/>
    <col min="10494" max="10494" width="12.7109375" style="32" customWidth="1"/>
    <col min="10495" max="10495" width="9.28515625" style="32"/>
    <col min="10496" max="10496" width="14" style="32" customWidth="1"/>
    <col min="10497" max="10497" width="9.28515625" style="32"/>
    <col min="10498" max="10498" width="12.7109375" style="32" customWidth="1"/>
    <col min="10499" max="10747" width="9.28515625" style="32"/>
    <col min="10748" max="10748" width="13.7109375" style="32" customWidth="1"/>
    <col min="10749" max="10749" width="46.140625" style="32" bestFit="1" customWidth="1"/>
    <col min="10750" max="10750" width="12.7109375" style="32" customWidth="1"/>
    <col min="10751" max="10751" width="9.28515625" style="32"/>
    <col min="10752" max="10752" width="14" style="32" customWidth="1"/>
    <col min="10753" max="10753" width="9.28515625" style="32"/>
    <col min="10754" max="10754" width="12.7109375" style="32" customWidth="1"/>
    <col min="10755" max="11003" width="9.28515625" style="32"/>
    <col min="11004" max="11004" width="13.7109375" style="32" customWidth="1"/>
    <col min="11005" max="11005" width="46.140625" style="32" bestFit="1" customWidth="1"/>
    <col min="11006" max="11006" width="12.7109375" style="32" customWidth="1"/>
    <col min="11007" max="11007" width="9.28515625" style="32"/>
    <col min="11008" max="11008" width="14" style="32" customWidth="1"/>
    <col min="11009" max="11009" width="9.28515625" style="32"/>
    <col min="11010" max="11010" width="12.7109375" style="32" customWidth="1"/>
    <col min="11011" max="11259" width="9.28515625" style="32"/>
    <col min="11260" max="11260" width="13.7109375" style="32" customWidth="1"/>
    <col min="11261" max="11261" width="46.140625" style="32" bestFit="1" customWidth="1"/>
    <col min="11262" max="11262" width="12.7109375" style="32" customWidth="1"/>
    <col min="11263" max="11263" width="9.28515625" style="32"/>
    <col min="11264" max="11264" width="14" style="32" customWidth="1"/>
    <col min="11265" max="11265" width="9.28515625" style="32"/>
    <col min="11266" max="11266" width="12.7109375" style="32" customWidth="1"/>
    <col min="11267" max="11515" width="9.28515625" style="32"/>
    <col min="11516" max="11516" width="13.7109375" style="32" customWidth="1"/>
    <col min="11517" max="11517" width="46.140625" style="32" bestFit="1" customWidth="1"/>
    <col min="11518" max="11518" width="12.7109375" style="32" customWidth="1"/>
    <col min="11519" max="11519" width="9.28515625" style="32"/>
    <col min="11520" max="11520" width="14" style="32" customWidth="1"/>
    <col min="11521" max="11521" width="9.28515625" style="32"/>
    <col min="11522" max="11522" width="12.7109375" style="32" customWidth="1"/>
    <col min="11523" max="11771" width="9.28515625" style="32"/>
    <col min="11772" max="11772" width="13.7109375" style="32" customWidth="1"/>
    <col min="11773" max="11773" width="46.140625" style="32" bestFit="1" customWidth="1"/>
    <col min="11774" max="11774" width="12.7109375" style="32" customWidth="1"/>
    <col min="11775" max="11775" width="9.28515625" style="32"/>
    <col min="11776" max="11776" width="14" style="32" customWidth="1"/>
    <col min="11777" max="11777" width="9.28515625" style="32"/>
    <col min="11778" max="11778" width="12.7109375" style="32" customWidth="1"/>
    <col min="11779" max="12027" width="9.28515625" style="32"/>
    <col min="12028" max="12028" width="13.7109375" style="32" customWidth="1"/>
    <col min="12029" max="12029" width="46.140625" style="32" bestFit="1" customWidth="1"/>
    <col min="12030" max="12030" width="12.7109375" style="32" customWidth="1"/>
    <col min="12031" max="12031" width="9.28515625" style="32"/>
    <col min="12032" max="12032" width="14" style="32" customWidth="1"/>
    <col min="12033" max="12033" width="9.28515625" style="32"/>
    <col min="12034" max="12034" width="12.7109375" style="32" customWidth="1"/>
    <col min="12035" max="12283" width="9.28515625" style="32"/>
    <col min="12284" max="12284" width="13.7109375" style="32" customWidth="1"/>
    <col min="12285" max="12285" width="46.140625" style="32" bestFit="1" customWidth="1"/>
    <col min="12286" max="12286" width="12.7109375" style="32" customWidth="1"/>
    <col min="12287" max="12287" width="9.28515625" style="32"/>
    <col min="12288" max="12288" width="14" style="32" customWidth="1"/>
    <col min="12289" max="12289" width="9.28515625" style="32"/>
    <col min="12290" max="12290" width="12.7109375" style="32" customWidth="1"/>
    <col min="12291" max="12539" width="9.28515625" style="32"/>
    <col min="12540" max="12540" width="13.7109375" style="32" customWidth="1"/>
    <col min="12541" max="12541" width="46.140625" style="32" bestFit="1" customWidth="1"/>
    <col min="12542" max="12542" width="12.7109375" style="32" customWidth="1"/>
    <col min="12543" max="12543" width="9.28515625" style="32"/>
    <col min="12544" max="12544" width="14" style="32" customWidth="1"/>
    <col min="12545" max="12545" width="9.28515625" style="32"/>
    <col min="12546" max="12546" width="12.7109375" style="32" customWidth="1"/>
    <col min="12547" max="12795" width="9.28515625" style="32"/>
    <col min="12796" max="12796" width="13.7109375" style="32" customWidth="1"/>
    <col min="12797" max="12797" width="46.140625" style="32" bestFit="1" customWidth="1"/>
    <col min="12798" max="12798" width="12.7109375" style="32" customWidth="1"/>
    <col min="12799" max="12799" width="9.28515625" style="32"/>
    <col min="12800" max="12800" width="14" style="32" customWidth="1"/>
    <col min="12801" max="12801" width="9.28515625" style="32"/>
    <col min="12802" max="12802" width="12.7109375" style="32" customWidth="1"/>
    <col min="12803" max="13051" width="9.28515625" style="32"/>
    <col min="13052" max="13052" width="13.7109375" style="32" customWidth="1"/>
    <col min="13053" max="13053" width="46.140625" style="32" bestFit="1" customWidth="1"/>
    <col min="13054" max="13054" width="12.7109375" style="32" customWidth="1"/>
    <col min="13055" max="13055" width="9.28515625" style="32"/>
    <col min="13056" max="13056" width="14" style="32" customWidth="1"/>
    <col min="13057" max="13057" width="9.28515625" style="32"/>
    <col min="13058" max="13058" width="12.7109375" style="32" customWidth="1"/>
    <col min="13059" max="13307" width="9.28515625" style="32"/>
    <col min="13308" max="13308" width="13.7109375" style="32" customWidth="1"/>
    <col min="13309" max="13309" width="46.140625" style="32" bestFit="1" customWidth="1"/>
    <col min="13310" max="13310" width="12.7109375" style="32" customWidth="1"/>
    <col min="13311" max="13311" width="9.28515625" style="32"/>
    <col min="13312" max="13312" width="14" style="32" customWidth="1"/>
    <col min="13313" max="13313" width="9.28515625" style="32"/>
    <col min="13314" max="13314" width="12.7109375" style="32" customWidth="1"/>
    <col min="13315" max="13563" width="9.28515625" style="32"/>
    <col min="13564" max="13564" width="13.7109375" style="32" customWidth="1"/>
    <col min="13565" max="13565" width="46.140625" style="32" bestFit="1" customWidth="1"/>
    <col min="13566" max="13566" width="12.7109375" style="32" customWidth="1"/>
    <col min="13567" max="13567" width="9.28515625" style="32"/>
    <col min="13568" max="13568" width="14" style="32" customWidth="1"/>
    <col min="13569" max="13569" width="9.28515625" style="32"/>
    <col min="13570" max="13570" width="12.7109375" style="32" customWidth="1"/>
    <col min="13571" max="13819" width="9.28515625" style="32"/>
    <col min="13820" max="13820" width="13.7109375" style="32" customWidth="1"/>
    <col min="13821" max="13821" width="46.140625" style="32" bestFit="1" customWidth="1"/>
    <col min="13822" max="13822" width="12.7109375" style="32" customWidth="1"/>
    <col min="13823" max="13823" width="9.28515625" style="32"/>
    <col min="13824" max="13824" width="14" style="32" customWidth="1"/>
    <col min="13825" max="13825" width="9.28515625" style="32"/>
    <col min="13826" max="13826" width="12.7109375" style="32" customWidth="1"/>
    <col min="13827" max="14075" width="9.28515625" style="32"/>
    <col min="14076" max="14076" width="13.7109375" style="32" customWidth="1"/>
    <col min="14077" max="14077" width="46.140625" style="32" bestFit="1" customWidth="1"/>
    <col min="14078" max="14078" width="12.7109375" style="32" customWidth="1"/>
    <col min="14079" max="14079" width="9.28515625" style="32"/>
    <col min="14080" max="14080" width="14" style="32" customWidth="1"/>
    <col min="14081" max="14081" width="9.28515625" style="32"/>
    <col min="14082" max="14082" width="12.7109375" style="32" customWidth="1"/>
    <col min="14083" max="14331" width="9.28515625" style="32"/>
    <col min="14332" max="14332" width="13.7109375" style="32" customWidth="1"/>
    <col min="14333" max="14333" width="46.140625" style="32" bestFit="1" customWidth="1"/>
    <col min="14334" max="14334" width="12.7109375" style="32" customWidth="1"/>
    <col min="14335" max="14335" width="9.28515625" style="32"/>
    <col min="14336" max="14336" width="14" style="32" customWidth="1"/>
    <col min="14337" max="14337" width="9.28515625" style="32"/>
    <col min="14338" max="14338" width="12.7109375" style="32" customWidth="1"/>
    <col min="14339" max="14587" width="9.28515625" style="32"/>
    <col min="14588" max="14588" width="13.7109375" style="32" customWidth="1"/>
    <col min="14589" max="14589" width="46.140625" style="32" bestFit="1" customWidth="1"/>
    <col min="14590" max="14590" width="12.7109375" style="32" customWidth="1"/>
    <col min="14591" max="14591" width="9.28515625" style="32"/>
    <col min="14592" max="14592" width="14" style="32" customWidth="1"/>
    <col min="14593" max="14593" width="9.28515625" style="32"/>
    <col min="14594" max="14594" width="12.7109375" style="32" customWidth="1"/>
    <col min="14595" max="14843" width="9.28515625" style="32"/>
    <col min="14844" max="14844" width="13.7109375" style="32" customWidth="1"/>
    <col min="14845" max="14845" width="46.140625" style="32" bestFit="1" customWidth="1"/>
    <col min="14846" max="14846" width="12.7109375" style="32" customWidth="1"/>
    <col min="14847" max="14847" width="9.28515625" style="32"/>
    <col min="14848" max="14848" width="14" style="32" customWidth="1"/>
    <col min="14849" max="14849" width="9.28515625" style="32"/>
    <col min="14850" max="14850" width="12.7109375" style="32" customWidth="1"/>
    <col min="14851" max="15099" width="9.28515625" style="32"/>
    <col min="15100" max="15100" width="13.7109375" style="32" customWidth="1"/>
    <col min="15101" max="15101" width="46.140625" style="32" bestFit="1" customWidth="1"/>
    <col min="15102" max="15102" width="12.7109375" style="32" customWidth="1"/>
    <col min="15103" max="15103" width="9.28515625" style="32"/>
    <col min="15104" max="15104" width="14" style="32" customWidth="1"/>
    <col min="15105" max="15105" width="9.28515625" style="32"/>
    <col min="15106" max="15106" width="12.7109375" style="32" customWidth="1"/>
    <col min="15107" max="15355" width="9.28515625" style="32"/>
    <col min="15356" max="15356" width="13.7109375" style="32" customWidth="1"/>
    <col min="15357" max="15357" width="46.140625" style="32" bestFit="1" customWidth="1"/>
    <col min="15358" max="15358" width="12.7109375" style="32" customWidth="1"/>
    <col min="15359" max="15359" width="9.28515625" style="32"/>
    <col min="15360" max="15360" width="14" style="32" customWidth="1"/>
    <col min="15361" max="15361" width="9.28515625" style="32"/>
    <col min="15362" max="15362" width="12.7109375" style="32" customWidth="1"/>
    <col min="15363" max="15611" width="9.28515625" style="32"/>
    <col min="15612" max="15612" width="13.7109375" style="32" customWidth="1"/>
    <col min="15613" max="15613" width="46.140625" style="32" bestFit="1" customWidth="1"/>
    <col min="15614" max="15614" width="12.7109375" style="32" customWidth="1"/>
    <col min="15615" max="15615" width="9.28515625" style="32"/>
    <col min="15616" max="15616" width="14" style="32" customWidth="1"/>
    <col min="15617" max="15617" width="9.28515625" style="32"/>
    <col min="15618" max="15618" width="12.7109375" style="32" customWidth="1"/>
    <col min="15619" max="15867" width="9.28515625" style="32"/>
    <col min="15868" max="15868" width="13.7109375" style="32" customWidth="1"/>
    <col min="15869" max="15869" width="46.140625" style="32" bestFit="1" customWidth="1"/>
    <col min="15870" max="15870" width="12.7109375" style="32" customWidth="1"/>
    <col min="15871" max="15871" width="9.28515625" style="32"/>
    <col min="15872" max="15872" width="14" style="32" customWidth="1"/>
    <col min="15873" max="15873" width="9.28515625" style="32"/>
    <col min="15874" max="15874" width="12.7109375" style="32" customWidth="1"/>
    <col min="15875" max="16123" width="9.28515625" style="32"/>
    <col min="16124" max="16124" width="13.7109375" style="32" customWidth="1"/>
    <col min="16125" max="16125" width="46.140625" style="32" bestFit="1" customWidth="1"/>
    <col min="16126" max="16126" width="12.7109375" style="32" customWidth="1"/>
    <col min="16127" max="16127" width="9.28515625" style="32"/>
    <col min="16128" max="16128" width="14" style="32" customWidth="1"/>
    <col min="16129" max="16129" width="9.28515625" style="32"/>
    <col min="16130" max="16130" width="12.7109375" style="32" customWidth="1"/>
    <col min="16131" max="16384" width="9.28515625" style="32"/>
  </cols>
  <sheetData>
    <row r="1" spans="1:6" s="18" customFormat="1" ht="16.5" thickBot="1" x14ac:dyDescent="0.3">
      <c r="A1" s="15"/>
      <c r="B1" s="16"/>
      <c r="C1" s="17" t="s">
        <v>170</v>
      </c>
      <c r="D1" s="17" t="s">
        <v>169</v>
      </c>
      <c r="F1" s="144"/>
    </row>
    <row r="2" spans="1:6" s="22" customFormat="1" ht="36" x14ac:dyDescent="0.25">
      <c r="A2" s="19" t="s">
        <v>60</v>
      </c>
      <c r="B2" s="20" t="s">
        <v>61</v>
      </c>
      <c r="C2" s="21" t="s">
        <v>161</v>
      </c>
      <c r="D2" s="21" t="s">
        <v>147</v>
      </c>
      <c r="F2" s="145"/>
    </row>
    <row r="3" spans="1:6" s="22" customFormat="1" ht="24.75" thickBot="1" x14ac:dyDescent="0.3">
      <c r="A3" s="23" t="s">
        <v>62</v>
      </c>
      <c r="B3" s="24" t="s">
        <v>63</v>
      </c>
      <c r="C3" s="25" t="s">
        <v>64</v>
      </c>
      <c r="D3" s="25" t="s">
        <v>64</v>
      </c>
      <c r="F3" s="145"/>
    </row>
    <row r="4" spans="1:6" s="28" customFormat="1" ht="14.25" thickBot="1" x14ac:dyDescent="0.3">
      <c r="A4" s="26"/>
      <c r="B4" s="26"/>
      <c r="C4" s="27"/>
      <c r="D4" s="27" t="s">
        <v>65</v>
      </c>
      <c r="F4" s="146"/>
    </row>
    <row r="5" spans="1:6" ht="15.75" thickBot="1" x14ac:dyDescent="0.3">
      <c r="A5" s="29" t="s">
        <v>66</v>
      </c>
      <c r="B5" s="30" t="s">
        <v>67</v>
      </c>
      <c r="C5" s="31" t="s">
        <v>68</v>
      </c>
      <c r="D5" s="31" t="s">
        <v>68</v>
      </c>
    </row>
    <row r="6" spans="1:6" s="36" customFormat="1" ht="16.5" thickBot="1" x14ac:dyDescent="0.3">
      <c r="A6" s="33">
        <v>1</v>
      </c>
      <c r="B6" s="34">
        <v>2</v>
      </c>
      <c r="C6" s="35">
        <v>3</v>
      </c>
      <c r="D6" s="35">
        <v>3</v>
      </c>
      <c r="F6" s="148"/>
    </row>
    <row r="7" spans="1:6" s="36" customFormat="1" ht="16.5" thickBot="1" x14ac:dyDescent="0.3">
      <c r="A7" s="37"/>
      <c r="B7" s="38" t="s">
        <v>69</v>
      </c>
      <c r="C7" s="39"/>
      <c r="D7" s="39"/>
      <c r="F7" s="148"/>
    </row>
    <row r="8" spans="1:6" s="42" customFormat="1" ht="15.75" thickBot="1" x14ac:dyDescent="0.3">
      <c r="A8" s="33" t="s">
        <v>70</v>
      </c>
      <c r="B8" s="40" t="s">
        <v>71</v>
      </c>
      <c r="C8" s="41">
        <f>SUM(C9:C18)</f>
        <v>2377</v>
      </c>
      <c r="D8" s="41">
        <f>SUM(D9:D18)</f>
        <v>2176</v>
      </c>
      <c r="E8" s="143">
        <f>C8/D8</f>
        <v>1.0923713235294117</v>
      </c>
      <c r="F8" s="149">
        <f t="shared" ref="F8:F24" si="0">C8-D8</f>
        <v>201</v>
      </c>
    </row>
    <row r="9" spans="1:6" s="42" customFormat="1" x14ac:dyDescent="0.25">
      <c r="A9" s="43" t="s">
        <v>72</v>
      </c>
      <c r="B9" s="44" t="s">
        <v>73</v>
      </c>
      <c r="C9" s="45"/>
      <c r="D9" s="45"/>
      <c r="E9" s="143"/>
      <c r="F9" s="149">
        <f t="shared" si="0"/>
        <v>0</v>
      </c>
    </row>
    <row r="10" spans="1:6" s="42" customFormat="1" x14ac:dyDescent="0.25">
      <c r="A10" s="46" t="s">
        <v>74</v>
      </c>
      <c r="B10" s="47" t="s">
        <v>15</v>
      </c>
      <c r="C10" s="48">
        <v>200</v>
      </c>
      <c r="D10" s="48">
        <v>205</v>
      </c>
      <c r="E10" s="143">
        <f>C10/D10</f>
        <v>0.97560975609756095</v>
      </c>
      <c r="F10" s="149">
        <f t="shared" si="0"/>
        <v>-5</v>
      </c>
    </row>
    <row r="11" spans="1:6" s="42" customFormat="1" x14ac:dyDescent="0.25">
      <c r="A11" s="46" t="s">
        <v>75</v>
      </c>
      <c r="B11" s="47" t="s">
        <v>16</v>
      </c>
      <c r="C11" s="48">
        <v>1510</v>
      </c>
      <c r="D11" s="48">
        <v>1230</v>
      </c>
      <c r="E11" s="143">
        <f>C11/D11</f>
        <v>1.2276422764227641</v>
      </c>
      <c r="F11" s="149">
        <f t="shared" si="0"/>
        <v>280</v>
      </c>
    </row>
    <row r="12" spans="1:6" s="42" customFormat="1" x14ac:dyDescent="0.25">
      <c r="A12" s="46" t="s">
        <v>76</v>
      </c>
      <c r="B12" s="47" t="s">
        <v>77</v>
      </c>
      <c r="C12" s="48"/>
      <c r="D12" s="48"/>
      <c r="E12" s="143"/>
      <c r="F12" s="149">
        <f t="shared" si="0"/>
        <v>0</v>
      </c>
    </row>
    <row r="13" spans="1:6" s="42" customFormat="1" x14ac:dyDescent="0.25">
      <c r="A13" s="46" t="s">
        <v>78</v>
      </c>
      <c r="B13" s="47" t="s">
        <v>79</v>
      </c>
      <c r="C13" s="48"/>
      <c r="D13" s="48"/>
      <c r="E13" s="143"/>
      <c r="F13" s="149">
        <f t="shared" si="0"/>
        <v>0</v>
      </c>
    </row>
    <row r="14" spans="1:6" s="42" customFormat="1" x14ac:dyDescent="0.25">
      <c r="A14" s="46" t="s">
        <v>80</v>
      </c>
      <c r="B14" s="47" t="s">
        <v>17</v>
      </c>
      <c r="C14" s="48">
        <v>462</v>
      </c>
      <c r="D14" s="48">
        <v>387</v>
      </c>
      <c r="E14" s="143">
        <f>C14/D14</f>
        <v>1.193798449612403</v>
      </c>
      <c r="F14" s="149">
        <f t="shared" si="0"/>
        <v>75</v>
      </c>
    </row>
    <row r="15" spans="1:6" s="42" customFormat="1" x14ac:dyDescent="0.25">
      <c r="A15" s="46" t="s">
        <v>81</v>
      </c>
      <c r="B15" s="49" t="s">
        <v>82</v>
      </c>
      <c r="C15" s="48">
        <v>200</v>
      </c>
      <c r="D15" s="48">
        <v>350</v>
      </c>
      <c r="E15" s="143">
        <f>C15/D15</f>
        <v>0.5714285714285714</v>
      </c>
      <c r="F15" s="149">
        <f t="shared" si="0"/>
        <v>-150</v>
      </c>
    </row>
    <row r="16" spans="1:6" s="42" customFormat="1" x14ac:dyDescent="0.25">
      <c r="A16" s="46" t="s">
        <v>83</v>
      </c>
      <c r="B16" s="47" t="s">
        <v>84</v>
      </c>
      <c r="C16" s="50">
        <v>4</v>
      </c>
      <c r="D16" s="50">
        <v>2</v>
      </c>
      <c r="E16" s="143">
        <f>C16/D16</f>
        <v>2</v>
      </c>
      <c r="F16" s="149">
        <f t="shared" si="0"/>
        <v>2</v>
      </c>
    </row>
    <row r="17" spans="1:6" s="51" customFormat="1" x14ac:dyDescent="0.25">
      <c r="A17" s="46" t="s">
        <v>85</v>
      </c>
      <c r="B17" s="47" t="s">
        <v>86</v>
      </c>
      <c r="C17" s="48"/>
      <c r="D17" s="48"/>
      <c r="E17" s="143"/>
      <c r="F17" s="149">
        <f t="shared" si="0"/>
        <v>0</v>
      </c>
    </row>
    <row r="18" spans="1:6" s="51" customFormat="1" ht="15.75" thickBot="1" x14ac:dyDescent="0.3">
      <c r="A18" s="46" t="s">
        <v>87</v>
      </c>
      <c r="B18" s="49" t="s">
        <v>88</v>
      </c>
      <c r="C18" s="52">
        <v>1</v>
      </c>
      <c r="D18" s="52">
        <v>2</v>
      </c>
      <c r="E18" s="143">
        <f>C18/D18</f>
        <v>0.5</v>
      </c>
      <c r="F18" s="149">
        <f t="shared" si="0"/>
        <v>-1</v>
      </c>
    </row>
    <row r="19" spans="1:6" s="42" customFormat="1" ht="21.75" thickBot="1" x14ac:dyDescent="0.3">
      <c r="A19" s="33" t="s">
        <v>89</v>
      </c>
      <c r="B19" s="40" t="s">
        <v>90</v>
      </c>
      <c r="C19" s="41">
        <f>SUM(C20:C22)</f>
        <v>18382</v>
      </c>
      <c r="D19" s="41">
        <f>SUM(D20:D22)</f>
        <v>16080</v>
      </c>
      <c r="E19" s="143">
        <f>C19/D19</f>
        <v>1.1431592039800995</v>
      </c>
      <c r="F19" s="149">
        <f t="shared" si="0"/>
        <v>2302</v>
      </c>
    </row>
    <row r="20" spans="1:6" s="51" customFormat="1" x14ac:dyDescent="0.25">
      <c r="A20" s="46" t="s">
        <v>91</v>
      </c>
      <c r="B20" s="53" t="s">
        <v>92</v>
      </c>
      <c r="C20" s="48"/>
      <c r="D20" s="48"/>
      <c r="E20" s="143"/>
      <c r="F20" s="149">
        <f t="shared" si="0"/>
        <v>0</v>
      </c>
    </row>
    <row r="21" spans="1:6" s="51" customFormat="1" ht="22.5" x14ac:dyDescent="0.25">
      <c r="A21" s="46" t="s">
        <v>93</v>
      </c>
      <c r="B21" s="47" t="s">
        <v>94</v>
      </c>
      <c r="C21" s="48"/>
      <c r="D21" s="48"/>
      <c r="E21" s="143"/>
      <c r="F21" s="149">
        <f t="shared" si="0"/>
        <v>0</v>
      </c>
    </row>
    <row r="22" spans="1:6" s="51" customFormat="1" ht="22.5" x14ac:dyDescent="0.25">
      <c r="A22" s="46" t="s">
        <v>95</v>
      </c>
      <c r="B22" s="47" t="s">
        <v>96</v>
      </c>
      <c r="C22" s="48">
        <v>18382</v>
      </c>
      <c r="D22" s="48">
        <v>16080</v>
      </c>
      <c r="E22" s="143">
        <f>C22/D22</f>
        <v>1.1431592039800995</v>
      </c>
      <c r="F22" s="149">
        <f t="shared" si="0"/>
        <v>2302</v>
      </c>
    </row>
    <row r="23" spans="1:6" s="51" customFormat="1" ht="15.75" thickBot="1" x14ac:dyDescent="0.3">
      <c r="A23" s="46" t="s">
        <v>97</v>
      </c>
      <c r="B23" s="47" t="s">
        <v>98</v>
      </c>
      <c r="C23" s="48"/>
      <c r="D23" s="48"/>
      <c r="E23" s="143"/>
      <c r="F23" s="149">
        <f t="shared" si="0"/>
        <v>0</v>
      </c>
    </row>
    <row r="24" spans="1:6" s="51" customFormat="1" ht="15.75" thickBot="1" x14ac:dyDescent="0.3">
      <c r="A24" s="54" t="s">
        <v>99</v>
      </c>
      <c r="B24" s="55" t="s">
        <v>100</v>
      </c>
      <c r="C24" s="56"/>
      <c r="D24" s="56">
        <v>5</v>
      </c>
      <c r="E24" s="143">
        <f>C24/D24</f>
        <v>0</v>
      </c>
      <c r="F24" s="149">
        <f t="shared" si="0"/>
        <v>-5</v>
      </c>
    </row>
    <row r="25" spans="1:6" s="51" customFormat="1" ht="21.75" thickBot="1" x14ac:dyDescent="0.3">
      <c r="A25" s="54" t="s">
        <v>101</v>
      </c>
      <c r="B25" s="55" t="s">
        <v>102</v>
      </c>
      <c r="C25" s="41">
        <f>+C26+C27</f>
        <v>0</v>
      </c>
      <c r="D25" s="41">
        <f>+D26+D27</f>
        <v>0</v>
      </c>
      <c r="F25" s="150"/>
    </row>
    <row r="26" spans="1:6" s="51" customFormat="1" ht="22.5" x14ac:dyDescent="0.25">
      <c r="A26" s="57" t="s">
        <v>103</v>
      </c>
      <c r="B26" s="58" t="s">
        <v>94</v>
      </c>
      <c r="C26" s="59"/>
      <c r="D26" s="59"/>
      <c r="F26" s="150"/>
    </row>
    <row r="27" spans="1:6" s="51" customFormat="1" ht="22.5" x14ac:dyDescent="0.25">
      <c r="A27" s="57" t="s">
        <v>104</v>
      </c>
      <c r="B27" s="60" t="s">
        <v>105</v>
      </c>
      <c r="C27" s="61"/>
      <c r="D27" s="61"/>
      <c r="F27" s="150"/>
    </row>
    <row r="28" spans="1:6" s="51" customFormat="1" ht="15.75" thickBot="1" x14ac:dyDescent="0.3">
      <c r="A28" s="46" t="s">
        <v>106</v>
      </c>
      <c r="B28" s="62" t="s">
        <v>107</v>
      </c>
      <c r="C28" s="63"/>
      <c r="D28" s="63"/>
      <c r="F28" s="150"/>
    </row>
    <row r="29" spans="1:6" s="51" customFormat="1" ht="15.75" thickBot="1" x14ac:dyDescent="0.3">
      <c r="A29" s="54" t="s">
        <v>108</v>
      </c>
      <c r="B29" s="55" t="s">
        <v>109</v>
      </c>
      <c r="C29" s="41">
        <f>+C30+C31+C32</f>
        <v>0</v>
      </c>
      <c r="D29" s="41">
        <f>+D30+D31+D32</f>
        <v>0</v>
      </c>
      <c r="F29" s="150"/>
    </row>
    <row r="30" spans="1:6" s="51" customFormat="1" x14ac:dyDescent="0.25">
      <c r="A30" s="57" t="s">
        <v>110</v>
      </c>
      <c r="B30" s="58" t="s">
        <v>111</v>
      </c>
      <c r="C30" s="59"/>
      <c r="D30" s="59"/>
      <c r="F30" s="150"/>
    </row>
    <row r="31" spans="1:6" s="51" customFormat="1" x14ac:dyDescent="0.25">
      <c r="A31" s="57" t="s">
        <v>112</v>
      </c>
      <c r="B31" s="60" t="s">
        <v>113</v>
      </c>
      <c r="C31" s="61"/>
      <c r="D31" s="61"/>
      <c r="F31" s="150"/>
    </row>
    <row r="32" spans="1:6" s="51" customFormat="1" ht="15.75" thickBot="1" x14ac:dyDescent="0.3">
      <c r="A32" s="46" t="s">
        <v>114</v>
      </c>
      <c r="B32" s="64" t="s">
        <v>115</v>
      </c>
      <c r="C32" s="63"/>
      <c r="D32" s="63"/>
      <c r="F32" s="150"/>
    </row>
    <row r="33" spans="1:9" s="42" customFormat="1" ht="15.75" thickBot="1" x14ac:dyDescent="0.3">
      <c r="A33" s="54" t="s">
        <v>116</v>
      </c>
      <c r="B33" s="55" t="s">
        <v>117</v>
      </c>
      <c r="C33" s="56"/>
      <c r="D33" s="56"/>
      <c r="F33" s="149"/>
    </row>
    <row r="34" spans="1:9" s="42" customFormat="1" ht="15.75" thickBot="1" x14ac:dyDescent="0.3">
      <c r="A34" s="54" t="s">
        <v>118</v>
      </c>
      <c r="B34" s="55" t="s">
        <v>119</v>
      </c>
      <c r="C34" s="65"/>
      <c r="D34" s="65"/>
      <c r="F34" s="149"/>
    </row>
    <row r="35" spans="1:9" s="42" customFormat="1" ht="15.75" thickBot="1" x14ac:dyDescent="0.3">
      <c r="A35" s="33" t="s">
        <v>120</v>
      </c>
      <c r="B35" s="55" t="s">
        <v>121</v>
      </c>
      <c r="C35" s="66">
        <f>+C8+C19+C24+C25+C29+C33+C34</f>
        <v>20759</v>
      </c>
      <c r="D35" s="66">
        <f>+D8+D19+D24+D25+D29+D33+D34</f>
        <v>18261</v>
      </c>
      <c r="E35" s="143">
        <f>C35/D35</f>
        <v>1.1367942609933739</v>
      </c>
      <c r="F35" s="149">
        <f t="shared" ref="F35:F40" si="1">C35-D35</f>
        <v>2498</v>
      </c>
    </row>
    <row r="36" spans="1:9" s="42" customFormat="1" ht="15.75" thickBot="1" x14ac:dyDescent="0.3">
      <c r="A36" s="67" t="s">
        <v>122</v>
      </c>
      <c r="B36" s="55" t="s">
        <v>123</v>
      </c>
      <c r="C36" s="66">
        <f>+C37+C38+C39</f>
        <v>136008</v>
      </c>
      <c r="D36" s="66">
        <f>+D37+D38+D39</f>
        <v>130034</v>
      </c>
      <c r="E36" s="143">
        <f>C36/D36</f>
        <v>1.0459418305981512</v>
      </c>
      <c r="F36" s="149">
        <f t="shared" si="1"/>
        <v>5974</v>
      </c>
    </row>
    <row r="37" spans="1:9" s="42" customFormat="1" x14ac:dyDescent="0.25">
      <c r="A37" s="57" t="s">
        <v>124</v>
      </c>
      <c r="B37" s="58" t="s">
        <v>125</v>
      </c>
      <c r="C37" s="68">
        <v>123</v>
      </c>
      <c r="D37" s="68">
        <v>187</v>
      </c>
      <c r="E37" s="143">
        <f>C37/D37</f>
        <v>0.65775401069518713</v>
      </c>
      <c r="F37" s="149">
        <f t="shared" si="1"/>
        <v>-64</v>
      </c>
    </row>
    <row r="38" spans="1:9" s="42" customFormat="1" x14ac:dyDescent="0.25">
      <c r="A38" s="57" t="s">
        <v>126</v>
      </c>
      <c r="B38" s="60" t="s">
        <v>127</v>
      </c>
      <c r="C38" s="61"/>
      <c r="D38" s="61"/>
      <c r="E38" s="143"/>
      <c r="F38" s="149">
        <f t="shared" si="1"/>
        <v>0</v>
      </c>
    </row>
    <row r="39" spans="1:9" s="51" customFormat="1" ht="23.25" thickBot="1" x14ac:dyDescent="0.3">
      <c r="A39" s="46" t="s">
        <v>128</v>
      </c>
      <c r="B39" s="64" t="s">
        <v>129</v>
      </c>
      <c r="C39" s="63">
        <v>135885</v>
      </c>
      <c r="D39" s="63">
        <v>129847</v>
      </c>
      <c r="E39" s="143">
        <f>C39/D39</f>
        <v>1.0465008818070498</v>
      </c>
      <c r="F39" s="149">
        <f t="shared" si="1"/>
        <v>6038</v>
      </c>
      <c r="G39" s="51">
        <f>F39*0.764</f>
        <v>4613.0320000000002</v>
      </c>
      <c r="H39" s="51">
        <f>F39*0.091</f>
        <v>549.45799999999997</v>
      </c>
      <c r="I39" s="51">
        <f>F39*0.087</f>
        <v>525.30599999999993</v>
      </c>
    </row>
    <row r="40" spans="1:9" s="51" customFormat="1" ht="15.75" thickBot="1" x14ac:dyDescent="0.25">
      <c r="A40" s="67" t="s">
        <v>130</v>
      </c>
      <c r="B40" s="69" t="s">
        <v>131</v>
      </c>
      <c r="C40" s="70">
        <f>+C35+C36</f>
        <v>156767</v>
      </c>
      <c r="D40" s="70">
        <f>+D35+D36</f>
        <v>148295</v>
      </c>
      <c r="E40" s="143">
        <f>C40/D40</f>
        <v>1.0571293705114806</v>
      </c>
      <c r="F40" s="149">
        <f t="shared" si="1"/>
        <v>8472</v>
      </c>
    </row>
    <row r="41" spans="1:9" s="51" customFormat="1" x14ac:dyDescent="0.25">
      <c r="A41" s="71"/>
      <c r="B41" s="72"/>
      <c r="C41" s="73"/>
      <c r="D41" s="73"/>
      <c r="F41" s="150"/>
    </row>
    <row r="42" spans="1:9" ht="15.75" thickBot="1" x14ac:dyDescent="0.3">
      <c r="A42" s="74"/>
      <c r="B42" s="75"/>
      <c r="C42" s="76"/>
      <c r="D42" s="76"/>
    </row>
    <row r="43" spans="1:9" s="36" customFormat="1" ht="16.5" thickBot="1" x14ac:dyDescent="0.3">
      <c r="A43" s="77"/>
      <c r="B43" s="78" t="s">
        <v>132</v>
      </c>
      <c r="C43" s="70"/>
      <c r="D43" s="70"/>
      <c r="F43" s="148"/>
    </row>
    <row r="44" spans="1:9" s="79" customFormat="1" ht="15.75" thickBot="1" x14ac:dyDescent="0.3">
      <c r="A44" s="54" t="s">
        <v>70</v>
      </c>
      <c r="B44" s="55" t="s">
        <v>133</v>
      </c>
      <c r="C44" s="41">
        <f>SUM(C45:C49)</f>
        <v>155624</v>
      </c>
      <c r="D44" s="41">
        <f>SUM(D45:D49)</f>
        <v>146612</v>
      </c>
      <c r="E44" s="143">
        <f>C44/D44</f>
        <v>1.0614683654816794</v>
      </c>
      <c r="F44" s="149">
        <f t="shared" ref="F44:F51" si="2">C44-D44</f>
        <v>9012</v>
      </c>
    </row>
    <row r="45" spans="1:9" x14ac:dyDescent="0.25">
      <c r="A45" s="46" t="s">
        <v>72</v>
      </c>
      <c r="B45" s="53" t="s">
        <v>134</v>
      </c>
      <c r="C45" s="59">
        <v>102261</v>
      </c>
      <c r="D45" s="59">
        <v>92456</v>
      </c>
      <c r="E45" s="143">
        <f>C45/D45</f>
        <v>1.1060504456173748</v>
      </c>
      <c r="F45" s="149">
        <f t="shared" si="2"/>
        <v>9805</v>
      </c>
    </row>
    <row r="46" spans="1:9" x14ac:dyDescent="0.25">
      <c r="A46" s="46" t="s">
        <v>74</v>
      </c>
      <c r="B46" s="47" t="s">
        <v>135</v>
      </c>
      <c r="C46" s="80">
        <v>22708</v>
      </c>
      <c r="D46" s="80">
        <v>25149</v>
      </c>
      <c r="E46" s="143">
        <f>C46/D46</f>
        <v>0.90293848661974629</v>
      </c>
      <c r="F46" s="149">
        <f t="shared" si="2"/>
        <v>-2441</v>
      </c>
    </row>
    <row r="47" spans="1:9" x14ac:dyDescent="0.25">
      <c r="A47" s="46" t="s">
        <v>75</v>
      </c>
      <c r="B47" s="47" t="s">
        <v>136</v>
      </c>
      <c r="C47" s="81">
        <v>30655</v>
      </c>
      <c r="D47" s="81">
        <v>29007</v>
      </c>
      <c r="E47" s="143">
        <f>C47/D47</f>
        <v>1.0568138725135312</v>
      </c>
      <c r="F47" s="149">
        <f t="shared" si="2"/>
        <v>1648</v>
      </c>
    </row>
    <row r="48" spans="1:9" x14ac:dyDescent="0.25">
      <c r="A48" s="46" t="s">
        <v>76</v>
      </c>
      <c r="B48" s="47" t="s">
        <v>137</v>
      </c>
      <c r="C48" s="80"/>
      <c r="D48" s="80"/>
      <c r="E48" s="143"/>
      <c r="F48" s="149">
        <f t="shared" si="2"/>
        <v>0</v>
      </c>
    </row>
    <row r="49" spans="1:6" ht="15.75" thickBot="1" x14ac:dyDescent="0.3">
      <c r="A49" s="46" t="s">
        <v>78</v>
      </c>
      <c r="B49" s="47" t="s">
        <v>138</v>
      </c>
      <c r="C49" s="80"/>
      <c r="D49" s="80"/>
      <c r="E49" s="143"/>
      <c r="F49" s="149">
        <f t="shared" si="2"/>
        <v>0</v>
      </c>
    </row>
    <row r="50" spans="1:6" ht="15.75" thickBot="1" x14ac:dyDescent="0.3">
      <c r="A50" s="54" t="s">
        <v>89</v>
      </c>
      <c r="B50" s="55" t="s">
        <v>139</v>
      </c>
      <c r="C50" s="41">
        <f>SUM(C51:C53)</f>
        <v>1143</v>
      </c>
      <c r="D50" s="41">
        <f>SUM(D51:D53)</f>
        <v>1683</v>
      </c>
      <c r="E50" s="143">
        <f>C50/D50</f>
        <v>0.67914438502673802</v>
      </c>
      <c r="F50" s="149">
        <f t="shared" si="2"/>
        <v>-540</v>
      </c>
    </row>
    <row r="51" spans="1:6" s="79" customFormat="1" x14ac:dyDescent="0.25">
      <c r="A51" s="46" t="s">
        <v>91</v>
      </c>
      <c r="B51" s="53" t="s">
        <v>140</v>
      </c>
      <c r="C51" s="59">
        <v>1143</v>
      </c>
      <c r="D51" s="59">
        <v>1683</v>
      </c>
      <c r="E51" s="143">
        <f>C51/D51</f>
        <v>0.67914438502673802</v>
      </c>
      <c r="F51" s="149">
        <f t="shared" si="2"/>
        <v>-540</v>
      </c>
    </row>
    <row r="52" spans="1:6" x14ac:dyDescent="0.25">
      <c r="A52" s="46" t="s">
        <v>93</v>
      </c>
      <c r="B52" s="47" t="s">
        <v>141</v>
      </c>
      <c r="C52" s="80"/>
      <c r="D52" s="80"/>
      <c r="E52" s="143"/>
    </row>
    <row r="53" spans="1:6" x14ac:dyDescent="0.25">
      <c r="A53" s="46" t="s">
        <v>95</v>
      </c>
      <c r="B53" s="47" t="s">
        <v>142</v>
      </c>
      <c r="C53" s="80"/>
      <c r="D53" s="80"/>
      <c r="E53" s="143"/>
    </row>
    <row r="54" spans="1:6" ht="23.25" thickBot="1" x14ac:dyDescent="0.3">
      <c r="A54" s="46" t="s">
        <v>97</v>
      </c>
      <c r="B54" s="47" t="s">
        <v>143</v>
      </c>
      <c r="C54" s="80"/>
      <c r="D54" s="80"/>
      <c r="E54" s="143"/>
    </row>
    <row r="55" spans="1:6" ht="15.75" thickBot="1" x14ac:dyDescent="0.3">
      <c r="A55" s="54" t="s">
        <v>99</v>
      </c>
      <c r="B55" s="82" t="s">
        <v>144</v>
      </c>
      <c r="C55" s="83">
        <f>+C44+C50</f>
        <v>156767</v>
      </c>
      <c r="D55" s="83">
        <f>+D44+D50</f>
        <v>148295</v>
      </c>
      <c r="E55" s="143">
        <f>C55/D55</f>
        <v>1.0571293705114806</v>
      </c>
      <c r="F55" s="149">
        <f>C55-D55</f>
        <v>8472</v>
      </c>
    </row>
    <row r="56" spans="1:6" ht="15.75" thickBot="1" x14ac:dyDescent="0.3">
      <c r="C56" s="85"/>
      <c r="D56" s="85"/>
    </row>
    <row r="57" spans="1:6" ht="15.75" thickBot="1" x14ac:dyDescent="0.3">
      <c r="A57" s="86" t="s">
        <v>145</v>
      </c>
      <c r="B57" s="87"/>
      <c r="C57" s="88">
        <v>30</v>
      </c>
      <c r="D57" s="88">
        <v>30</v>
      </c>
    </row>
    <row r="58" spans="1:6" ht="15.75" thickBot="1" x14ac:dyDescent="0.3">
      <c r="A58" s="86" t="s">
        <v>146</v>
      </c>
      <c r="B58" s="87"/>
      <c r="C58" s="88"/>
      <c r="D58" s="88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7"/>
  <sheetViews>
    <sheetView topLeftCell="A10" zoomScaleNormal="100" zoomScaleSheetLayoutView="100" workbookViewId="0">
      <selection activeCell="F3" sqref="F3"/>
    </sheetView>
  </sheetViews>
  <sheetFormatPr defaultColWidth="8.85546875" defaultRowHeight="15" x14ac:dyDescent="0.25"/>
  <cols>
    <col min="1" max="1" width="38.5703125" style="1" customWidth="1"/>
    <col min="2" max="3" width="8.85546875" style="1" customWidth="1"/>
    <col min="4" max="4" width="10" style="1" customWidth="1"/>
    <col min="5" max="6" width="10.7109375" style="1" customWidth="1"/>
    <col min="7" max="7" width="11.7109375" style="1" customWidth="1"/>
    <col min="8" max="8" width="10.85546875" style="1" customWidth="1"/>
    <col min="9" max="9" width="10.7109375" style="1" customWidth="1"/>
    <col min="10" max="10" width="11.28515625" style="1" customWidth="1"/>
    <col min="11" max="11" width="11.140625" style="1" customWidth="1"/>
    <col min="12" max="12" width="10.42578125" style="1" customWidth="1"/>
    <col min="13" max="13" width="11.28515625" style="1" customWidth="1"/>
    <col min="14" max="15" width="10.28515625" style="1" customWidth="1"/>
    <col min="16" max="17" width="10.85546875" style="1" bestFit="1" customWidth="1"/>
    <col min="18" max="18" width="8.85546875" style="1"/>
    <col min="19" max="19" width="10.85546875" style="1" bestFit="1" customWidth="1"/>
    <col min="20" max="20" width="9.140625" style="3" customWidth="1"/>
    <col min="21" max="42" width="8.85546875" style="3"/>
    <col min="43" max="16384" width="8.85546875" style="1"/>
  </cols>
  <sheetData>
    <row r="1" spans="1:42" s="117" customFormat="1" ht="49.5" customHeight="1" x14ac:dyDescent="0.25">
      <c r="A1" s="118" t="s">
        <v>40</v>
      </c>
      <c r="B1" s="118" t="s">
        <v>7</v>
      </c>
      <c r="C1" s="118" t="s">
        <v>41</v>
      </c>
      <c r="D1" s="118" t="s">
        <v>148</v>
      </c>
      <c r="E1" s="118" t="s">
        <v>149</v>
      </c>
      <c r="F1" s="118" t="s">
        <v>150</v>
      </c>
      <c r="G1" s="118" t="s">
        <v>0</v>
      </c>
      <c r="H1" s="118" t="s">
        <v>4</v>
      </c>
      <c r="I1" s="118" t="s">
        <v>5</v>
      </c>
      <c r="J1" s="118" t="s">
        <v>6</v>
      </c>
      <c r="K1" s="118" t="s">
        <v>42</v>
      </c>
      <c r="L1" s="118" t="s">
        <v>43</v>
      </c>
      <c r="M1" s="118" t="s">
        <v>1</v>
      </c>
      <c r="N1" s="118" t="s">
        <v>2</v>
      </c>
      <c r="O1" s="118" t="s">
        <v>3</v>
      </c>
      <c r="P1" s="118" t="s">
        <v>44</v>
      </c>
      <c r="Q1" s="118" t="s">
        <v>45</v>
      </c>
      <c r="R1" s="118" t="s">
        <v>46</v>
      </c>
      <c r="S1" s="118" t="s">
        <v>12</v>
      </c>
      <c r="T1" s="130"/>
      <c r="U1" s="118" t="s">
        <v>4</v>
      </c>
      <c r="V1" s="118" t="s">
        <v>5</v>
      </c>
      <c r="W1" s="118" t="s">
        <v>6</v>
      </c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</row>
    <row r="2" spans="1:42" s="89" customFormat="1" x14ac:dyDescent="0.25">
      <c r="A2" s="96" t="s">
        <v>21</v>
      </c>
      <c r="B2" s="96">
        <v>1</v>
      </c>
      <c r="C2" s="108">
        <f>238000+12000</f>
        <v>250000</v>
      </c>
      <c r="D2" s="97">
        <v>149000</v>
      </c>
      <c r="E2" s="97">
        <v>6051720</v>
      </c>
      <c r="F2" s="97">
        <f>E2*0.22+50988</f>
        <v>1382366.4</v>
      </c>
      <c r="G2" s="97">
        <f t="shared" ref="G2:G26" si="0">C2+D2+E2+F2</f>
        <v>7833086.4000000004</v>
      </c>
      <c r="H2" s="98">
        <v>0.9</v>
      </c>
      <c r="I2" s="98">
        <v>0.05</v>
      </c>
      <c r="J2" s="98">
        <v>0.05</v>
      </c>
      <c r="K2" s="98"/>
      <c r="L2" s="98"/>
      <c r="M2" s="97">
        <f>G2*H2</f>
        <v>7049777.7600000007</v>
      </c>
      <c r="N2" s="97">
        <f>G2*I2</f>
        <v>391654.32000000007</v>
      </c>
      <c r="O2" s="97">
        <f>G2*J2</f>
        <v>391654.32000000007</v>
      </c>
      <c r="P2" s="97"/>
      <c r="Q2" s="97"/>
      <c r="R2" s="96"/>
      <c r="S2" s="99">
        <f>SUM(M2:R2)</f>
        <v>7833086.4000000013</v>
      </c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</row>
    <row r="3" spans="1:42" s="89" customFormat="1" x14ac:dyDescent="0.25">
      <c r="A3" s="96" t="s">
        <v>22</v>
      </c>
      <c r="B3" s="96">
        <v>1</v>
      </c>
      <c r="C3" s="108">
        <f>12000</f>
        <v>12000</v>
      </c>
      <c r="D3" s="97">
        <v>149000</v>
      </c>
      <c r="E3" s="97">
        <v>5991720</v>
      </c>
      <c r="F3" s="97">
        <f t="shared" ref="F3:F21" si="1">E3*0.22+50988</f>
        <v>1369166.4</v>
      </c>
      <c r="G3" s="97">
        <f t="shared" si="0"/>
        <v>7521886.4000000004</v>
      </c>
      <c r="H3" s="98">
        <v>0.7</v>
      </c>
      <c r="I3" s="98">
        <v>0.15</v>
      </c>
      <c r="J3" s="98">
        <v>0.15</v>
      </c>
      <c r="K3" s="98"/>
      <c r="L3" s="98"/>
      <c r="M3" s="97">
        <f t="shared" ref="M3:M26" si="2">G3*H3</f>
        <v>5265320.4799999995</v>
      </c>
      <c r="N3" s="97">
        <f t="shared" ref="N3:N26" si="3">G3*I3</f>
        <v>1128282.96</v>
      </c>
      <c r="O3" s="97">
        <f t="shared" ref="O3:O26" si="4">G3*J3</f>
        <v>1128282.96</v>
      </c>
      <c r="P3" s="97"/>
      <c r="Q3" s="97"/>
      <c r="R3" s="96"/>
      <c r="S3" s="99">
        <f t="shared" ref="S3:S26" si="5">SUM(M3:R3)</f>
        <v>7521886.3999999994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</row>
    <row r="4" spans="1:42" s="89" customFormat="1" x14ac:dyDescent="0.25">
      <c r="A4" s="100" t="s">
        <v>23</v>
      </c>
      <c r="B4" s="96">
        <v>1</v>
      </c>
      <c r="C4" s="108">
        <f>12000</f>
        <v>12000</v>
      </c>
      <c r="D4" s="97">
        <v>149000</v>
      </c>
      <c r="E4" s="97">
        <v>2470860</v>
      </c>
      <c r="F4" s="97">
        <f t="shared" si="1"/>
        <v>594577.19999999995</v>
      </c>
      <c r="G4" s="97">
        <f t="shared" si="0"/>
        <v>3226437.2</v>
      </c>
      <c r="H4" s="101">
        <v>1</v>
      </c>
      <c r="I4" s="101"/>
      <c r="J4" s="101"/>
      <c r="K4" s="98"/>
      <c r="L4" s="98"/>
      <c r="M4" s="97">
        <f t="shared" si="2"/>
        <v>3226437.2</v>
      </c>
      <c r="N4" s="97">
        <f t="shared" si="3"/>
        <v>0</v>
      </c>
      <c r="O4" s="97">
        <f t="shared" si="4"/>
        <v>0</v>
      </c>
      <c r="P4" s="97"/>
      <c r="Q4" s="97"/>
      <c r="R4" s="96"/>
      <c r="S4" s="99">
        <f t="shared" si="5"/>
        <v>3226437.2</v>
      </c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</row>
    <row r="5" spans="1:42" s="89" customFormat="1" x14ac:dyDescent="0.25">
      <c r="A5" s="96" t="s">
        <v>24</v>
      </c>
      <c r="B5" s="96">
        <v>1</v>
      </c>
      <c r="C5" s="108">
        <v>12000</v>
      </c>
      <c r="D5" s="97">
        <v>149000</v>
      </c>
      <c r="E5" s="97">
        <v>2362860</v>
      </c>
      <c r="F5" s="97">
        <f t="shared" si="1"/>
        <v>570817.19999999995</v>
      </c>
      <c r="G5" s="97">
        <f t="shared" si="0"/>
        <v>3094677.2</v>
      </c>
      <c r="H5" s="98">
        <v>0.95</v>
      </c>
      <c r="I5" s="101"/>
      <c r="J5" s="101">
        <v>0.05</v>
      </c>
      <c r="K5" s="98"/>
      <c r="L5" s="98"/>
      <c r="M5" s="97">
        <f t="shared" si="2"/>
        <v>2939943.34</v>
      </c>
      <c r="N5" s="97">
        <f t="shared" si="3"/>
        <v>0</v>
      </c>
      <c r="O5" s="97">
        <f t="shared" si="4"/>
        <v>154733.86000000002</v>
      </c>
      <c r="P5" s="97"/>
      <c r="Q5" s="97"/>
      <c r="R5" s="96"/>
      <c r="S5" s="99">
        <f t="shared" si="5"/>
        <v>3094677.1999999997</v>
      </c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</row>
    <row r="6" spans="1:42" s="89" customFormat="1" x14ac:dyDescent="0.25">
      <c r="A6" s="96" t="s">
        <v>25</v>
      </c>
      <c r="B6" s="96">
        <v>1</v>
      </c>
      <c r="C6" s="108">
        <v>12000</v>
      </c>
      <c r="D6" s="97">
        <v>149000</v>
      </c>
      <c r="E6" s="97">
        <v>2466120</v>
      </c>
      <c r="F6" s="97">
        <f t="shared" si="1"/>
        <v>593534.4</v>
      </c>
      <c r="G6" s="97">
        <f t="shared" si="0"/>
        <v>3220654.4</v>
      </c>
      <c r="H6" s="98">
        <v>1</v>
      </c>
      <c r="I6" s="101"/>
      <c r="J6" s="98"/>
      <c r="K6" s="98"/>
      <c r="L6" s="98"/>
      <c r="M6" s="97">
        <f t="shared" si="2"/>
        <v>3220654.4</v>
      </c>
      <c r="N6" s="97">
        <f t="shared" si="3"/>
        <v>0</v>
      </c>
      <c r="O6" s="97">
        <f t="shared" si="4"/>
        <v>0</v>
      </c>
      <c r="P6" s="97"/>
      <c r="Q6" s="97"/>
      <c r="R6" s="96"/>
      <c r="S6" s="99">
        <f t="shared" si="5"/>
        <v>3220654.4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1:42" s="89" customFormat="1" x14ac:dyDescent="0.25">
      <c r="A7" s="102" t="s">
        <v>163</v>
      </c>
      <c r="B7" s="96">
        <v>1</v>
      </c>
      <c r="C7" s="108">
        <v>12000</v>
      </c>
      <c r="D7" s="97">
        <v>149000</v>
      </c>
      <c r="E7" s="97">
        <v>2796828</v>
      </c>
      <c r="F7" s="97">
        <f t="shared" si="1"/>
        <v>666290.16</v>
      </c>
      <c r="G7" s="97">
        <f t="shared" si="0"/>
        <v>3624118.16</v>
      </c>
      <c r="H7" s="98">
        <v>0.2</v>
      </c>
      <c r="I7" s="101">
        <v>0.4</v>
      </c>
      <c r="J7" s="98">
        <v>0.4</v>
      </c>
      <c r="K7" s="98"/>
      <c r="L7" s="98"/>
      <c r="M7" s="97">
        <f t="shared" si="2"/>
        <v>724823.6320000001</v>
      </c>
      <c r="N7" s="97">
        <f t="shared" si="3"/>
        <v>1449647.2640000002</v>
      </c>
      <c r="O7" s="97">
        <f t="shared" si="4"/>
        <v>1449647.2640000002</v>
      </c>
      <c r="P7" s="97"/>
      <c r="Q7" s="97"/>
      <c r="R7" s="96"/>
      <c r="S7" s="99">
        <f t="shared" si="5"/>
        <v>3624118.16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</row>
    <row r="8" spans="1:42" s="89" customFormat="1" x14ac:dyDescent="0.25">
      <c r="A8" s="102" t="s">
        <v>164</v>
      </c>
      <c r="B8" s="96">
        <v>1</v>
      </c>
      <c r="C8" s="108">
        <v>12000</v>
      </c>
      <c r="D8" s="97">
        <v>149000</v>
      </c>
      <c r="E8" s="97">
        <v>2252724</v>
      </c>
      <c r="F8" s="97">
        <f t="shared" si="1"/>
        <v>546587.28</v>
      </c>
      <c r="G8" s="97">
        <f>C8+D8+E8+F8</f>
        <v>2960311.2800000003</v>
      </c>
      <c r="H8" s="98">
        <v>1</v>
      </c>
      <c r="I8" s="101"/>
      <c r="J8" s="98"/>
      <c r="K8" s="98"/>
      <c r="L8" s="98"/>
      <c r="M8" s="97">
        <f t="shared" si="2"/>
        <v>2960311.2800000003</v>
      </c>
      <c r="N8" s="97">
        <f t="shared" si="3"/>
        <v>0</v>
      </c>
      <c r="O8" s="97">
        <f t="shared" si="4"/>
        <v>0</v>
      </c>
      <c r="P8" s="97"/>
      <c r="Q8" s="97"/>
      <c r="R8" s="96"/>
      <c r="S8" s="99">
        <f t="shared" si="5"/>
        <v>2960311.2800000003</v>
      </c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42" s="89" customFormat="1" x14ac:dyDescent="0.25">
      <c r="A9" s="96" t="s">
        <v>33</v>
      </c>
      <c r="B9" s="96">
        <v>1</v>
      </c>
      <c r="C9" s="108">
        <v>12000</v>
      </c>
      <c r="D9" s="97">
        <v>149000</v>
      </c>
      <c r="E9" s="97">
        <v>2295720</v>
      </c>
      <c r="F9" s="97">
        <f t="shared" si="1"/>
        <v>556046.4</v>
      </c>
      <c r="G9" s="97">
        <f t="shared" si="0"/>
        <v>3012766.4</v>
      </c>
      <c r="H9" s="101">
        <v>1</v>
      </c>
      <c r="I9" s="101"/>
      <c r="J9" s="101"/>
      <c r="K9" s="101"/>
      <c r="L9" s="101"/>
      <c r="M9" s="97">
        <f t="shared" si="2"/>
        <v>3012766.4</v>
      </c>
      <c r="N9" s="97">
        <f t="shared" si="3"/>
        <v>0</v>
      </c>
      <c r="O9" s="97">
        <f t="shared" si="4"/>
        <v>0</v>
      </c>
      <c r="P9" s="103"/>
      <c r="Q9" s="103"/>
      <c r="R9" s="96"/>
      <c r="S9" s="99">
        <f t="shared" si="5"/>
        <v>3012766.4</v>
      </c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s="89" customFormat="1" x14ac:dyDescent="0.25">
      <c r="A10" s="96" t="s">
        <v>34</v>
      </c>
      <c r="B10" s="96">
        <v>2</v>
      </c>
      <c r="C10" s="108">
        <v>24000</v>
      </c>
      <c r="D10" s="97">
        <v>298000</v>
      </c>
      <c r="E10" s="97">
        <v>4857720</v>
      </c>
      <c r="F10" s="97">
        <f>E10*0.22+101976</f>
        <v>1170674.3999999999</v>
      </c>
      <c r="G10" s="97">
        <f t="shared" si="0"/>
        <v>6350394.4000000004</v>
      </c>
      <c r="H10" s="101">
        <v>1</v>
      </c>
      <c r="I10" s="101"/>
      <c r="J10" s="101"/>
      <c r="K10" s="101"/>
      <c r="L10" s="100"/>
      <c r="M10" s="97">
        <f t="shared" si="2"/>
        <v>6350394.4000000004</v>
      </c>
      <c r="N10" s="97">
        <f t="shared" si="3"/>
        <v>0</v>
      </c>
      <c r="O10" s="97">
        <f t="shared" si="4"/>
        <v>0</v>
      </c>
      <c r="P10" s="103"/>
      <c r="Q10" s="103"/>
      <c r="R10" s="96"/>
      <c r="S10" s="99">
        <f t="shared" si="5"/>
        <v>6350394.4000000004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89" customFormat="1" x14ac:dyDescent="0.25">
      <c r="A11" s="104" t="s">
        <v>49</v>
      </c>
      <c r="B11" s="96">
        <v>2</v>
      </c>
      <c r="C11" s="108">
        <v>24000</v>
      </c>
      <c r="D11" s="97">
        <v>298000</v>
      </c>
      <c r="E11" s="97">
        <v>4399440</v>
      </c>
      <c r="F11" s="97">
        <f>E11*0.22+101976</f>
        <v>1069852.8</v>
      </c>
      <c r="G11" s="97">
        <f t="shared" si="0"/>
        <v>5791292.7999999998</v>
      </c>
      <c r="H11" s="101">
        <v>1</v>
      </c>
      <c r="I11" s="101"/>
      <c r="J11" s="101"/>
      <c r="K11" s="101"/>
      <c r="L11" s="101"/>
      <c r="M11" s="97">
        <f t="shared" si="2"/>
        <v>5791292.7999999998</v>
      </c>
      <c r="N11" s="97">
        <f t="shared" si="3"/>
        <v>0</v>
      </c>
      <c r="O11" s="97">
        <f t="shared" si="4"/>
        <v>0</v>
      </c>
      <c r="P11" s="105"/>
      <c r="Q11" s="105"/>
      <c r="R11" s="96"/>
      <c r="S11" s="99">
        <f t="shared" si="5"/>
        <v>5791292.7999999998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89" customFormat="1" x14ac:dyDescent="0.25">
      <c r="A12" s="96" t="s">
        <v>47</v>
      </c>
      <c r="B12" s="96">
        <v>1</v>
      </c>
      <c r="C12" s="108">
        <v>12000</v>
      </c>
      <c r="D12" s="97">
        <v>149000</v>
      </c>
      <c r="E12" s="97">
        <v>2812440</v>
      </c>
      <c r="F12" s="97">
        <f t="shared" si="1"/>
        <v>669724.80000000005</v>
      </c>
      <c r="G12" s="97">
        <f t="shared" si="0"/>
        <v>3643164.8</v>
      </c>
      <c r="H12" s="98"/>
      <c r="I12" s="98">
        <v>1</v>
      </c>
      <c r="J12" s="98"/>
      <c r="K12" s="98"/>
      <c r="L12" s="98"/>
      <c r="M12" s="97">
        <f t="shared" si="2"/>
        <v>0</v>
      </c>
      <c r="N12" s="97">
        <f t="shared" si="3"/>
        <v>3643164.8</v>
      </c>
      <c r="O12" s="97">
        <f t="shared" si="4"/>
        <v>0</v>
      </c>
      <c r="P12" s="97"/>
      <c r="Q12" s="97"/>
      <c r="R12" s="96"/>
      <c r="S12" s="99">
        <f t="shared" si="5"/>
        <v>3643164.8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89" customFormat="1" x14ac:dyDescent="0.25">
      <c r="A13" s="96" t="s">
        <v>48</v>
      </c>
      <c r="B13" s="96">
        <v>1</v>
      </c>
      <c r="C13" s="108">
        <f>12000</f>
        <v>12000</v>
      </c>
      <c r="D13" s="97">
        <v>149000</v>
      </c>
      <c r="E13" s="97">
        <v>2562000</v>
      </c>
      <c r="F13" s="97">
        <f t="shared" si="1"/>
        <v>614628</v>
      </c>
      <c r="G13" s="97">
        <f t="shared" si="0"/>
        <v>3337628</v>
      </c>
      <c r="H13" s="98"/>
      <c r="I13" s="98"/>
      <c r="J13" s="98">
        <v>1</v>
      </c>
      <c r="K13" s="98"/>
      <c r="L13" s="98"/>
      <c r="M13" s="97">
        <f t="shared" si="2"/>
        <v>0</v>
      </c>
      <c r="N13" s="97">
        <f t="shared" si="3"/>
        <v>0</v>
      </c>
      <c r="O13" s="97">
        <f t="shared" si="4"/>
        <v>3337628</v>
      </c>
      <c r="P13" s="97"/>
      <c r="Q13" s="97"/>
      <c r="R13" s="96"/>
      <c r="S13" s="99">
        <f t="shared" si="5"/>
        <v>3337628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89" customFormat="1" x14ac:dyDescent="0.25">
      <c r="A14" s="100" t="s">
        <v>26</v>
      </c>
      <c r="B14" s="96">
        <v>1</v>
      </c>
      <c r="C14" s="108">
        <f>30000+12000</f>
        <v>42000</v>
      </c>
      <c r="D14" s="97">
        <v>149000</v>
      </c>
      <c r="E14" s="97">
        <v>2780280</v>
      </c>
      <c r="F14" s="97">
        <f t="shared" si="1"/>
        <v>662649.59999999998</v>
      </c>
      <c r="G14" s="97">
        <f t="shared" si="0"/>
        <v>3633929.6</v>
      </c>
      <c r="H14" s="98">
        <v>0.4</v>
      </c>
      <c r="I14" s="101">
        <v>0.6</v>
      </c>
      <c r="J14" s="98"/>
      <c r="K14" s="98"/>
      <c r="L14" s="98"/>
      <c r="M14" s="97">
        <f t="shared" si="2"/>
        <v>1453571.84</v>
      </c>
      <c r="N14" s="97">
        <f t="shared" si="3"/>
        <v>2180357.7599999998</v>
      </c>
      <c r="O14" s="97">
        <f t="shared" si="4"/>
        <v>0</v>
      </c>
      <c r="P14" s="97"/>
      <c r="Q14" s="97"/>
      <c r="R14" s="96"/>
      <c r="S14" s="99">
        <f t="shared" si="5"/>
        <v>3633929.5999999996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89" customFormat="1" x14ac:dyDescent="0.25">
      <c r="A15" s="96" t="s">
        <v>27</v>
      </c>
      <c r="B15" s="96">
        <v>1</v>
      </c>
      <c r="C15" s="108">
        <f>190000+12000</f>
        <v>202000</v>
      </c>
      <c r="D15" s="97">
        <v>149000</v>
      </c>
      <c r="E15" s="97">
        <v>2810484</v>
      </c>
      <c r="F15" s="97">
        <f t="shared" si="1"/>
        <v>669294.48</v>
      </c>
      <c r="G15" s="97">
        <f t="shared" si="0"/>
        <v>3830778.48</v>
      </c>
      <c r="H15" s="101">
        <v>0.5</v>
      </c>
      <c r="I15" s="101"/>
      <c r="J15" s="101">
        <v>0.5</v>
      </c>
      <c r="K15" s="101"/>
      <c r="L15" s="101"/>
      <c r="M15" s="97">
        <f t="shared" si="2"/>
        <v>1915389.24</v>
      </c>
      <c r="N15" s="97">
        <f t="shared" si="3"/>
        <v>0</v>
      </c>
      <c r="O15" s="97">
        <f t="shared" si="4"/>
        <v>1915389.24</v>
      </c>
      <c r="P15" s="97"/>
      <c r="Q15" s="97"/>
      <c r="R15" s="96"/>
      <c r="S15" s="99">
        <f t="shared" si="5"/>
        <v>3830778.48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89" customFormat="1" x14ac:dyDescent="0.25">
      <c r="A16" s="104" t="s">
        <v>28</v>
      </c>
      <c r="B16" s="96">
        <v>5</v>
      </c>
      <c r="C16" s="108">
        <f>50000+60000</f>
        <v>110000</v>
      </c>
      <c r="D16" s="97">
        <v>745000</v>
      </c>
      <c r="E16" s="97">
        <v>18554460</v>
      </c>
      <c r="F16" s="97">
        <f>E16*0.22+254940</f>
        <v>4336921.2</v>
      </c>
      <c r="G16" s="97">
        <f t="shared" si="0"/>
        <v>23746381.199999999</v>
      </c>
      <c r="H16" s="101">
        <v>1</v>
      </c>
      <c r="I16" s="101"/>
      <c r="J16" s="101"/>
      <c r="K16" s="101"/>
      <c r="L16" s="101"/>
      <c r="M16" s="97">
        <f t="shared" si="2"/>
        <v>23746381.199999999</v>
      </c>
      <c r="N16" s="97">
        <f t="shared" si="3"/>
        <v>0</v>
      </c>
      <c r="O16" s="97">
        <f t="shared" si="4"/>
        <v>0</v>
      </c>
      <c r="P16" s="97"/>
      <c r="Q16" s="97"/>
      <c r="R16" s="96"/>
      <c r="S16" s="99">
        <f t="shared" si="5"/>
        <v>23746381.199999999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s="89" customFormat="1" x14ac:dyDescent="0.25">
      <c r="A17" s="96" t="s">
        <v>29</v>
      </c>
      <c r="B17" s="96">
        <v>1</v>
      </c>
      <c r="C17" s="108">
        <f>60000+12000</f>
        <v>72000</v>
      </c>
      <c r="D17" s="97">
        <v>149000</v>
      </c>
      <c r="E17" s="97">
        <v>3051720</v>
      </c>
      <c r="F17" s="97">
        <f t="shared" si="1"/>
        <v>722366.4</v>
      </c>
      <c r="G17" s="97">
        <f t="shared" si="0"/>
        <v>3995086.4</v>
      </c>
      <c r="H17" s="101"/>
      <c r="I17" s="101"/>
      <c r="J17" s="101"/>
      <c r="K17" s="101">
        <v>1</v>
      </c>
      <c r="L17" s="101"/>
      <c r="M17" s="97">
        <f t="shared" si="2"/>
        <v>0</v>
      </c>
      <c r="N17" s="97">
        <f t="shared" si="3"/>
        <v>0</v>
      </c>
      <c r="O17" s="97">
        <f t="shared" si="4"/>
        <v>0</v>
      </c>
      <c r="P17" s="97">
        <f>G17*K17</f>
        <v>3995086.4</v>
      </c>
      <c r="Q17" s="97"/>
      <c r="R17" s="96"/>
      <c r="S17" s="99">
        <f t="shared" si="5"/>
        <v>3995086.4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89" customFormat="1" x14ac:dyDescent="0.25">
      <c r="A18" s="96" t="s">
        <v>30</v>
      </c>
      <c r="B18" s="96">
        <v>1</v>
      </c>
      <c r="C18" s="108">
        <v>12000</v>
      </c>
      <c r="D18" s="97">
        <v>149000</v>
      </c>
      <c r="E18" s="97">
        <v>2542860</v>
      </c>
      <c r="F18" s="97">
        <f t="shared" si="1"/>
        <v>610417.19999999995</v>
      </c>
      <c r="G18" s="97">
        <f t="shared" si="0"/>
        <v>3314277.2</v>
      </c>
      <c r="H18" s="101"/>
      <c r="I18" s="101"/>
      <c r="J18" s="101"/>
      <c r="K18" s="101"/>
      <c r="L18" s="101">
        <v>1</v>
      </c>
      <c r="M18" s="97">
        <f t="shared" si="2"/>
        <v>0</v>
      </c>
      <c r="N18" s="97">
        <f t="shared" si="3"/>
        <v>0</v>
      </c>
      <c r="O18" s="97">
        <f t="shared" si="4"/>
        <v>0</v>
      </c>
      <c r="P18" s="97"/>
      <c r="Q18" s="97">
        <f>G18*L18</f>
        <v>3314277.2</v>
      </c>
      <c r="R18" s="96"/>
      <c r="S18" s="99">
        <f t="shared" si="5"/>
        <v>3314277.2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s="89" customFormat="1" x14ac:dyDescent="0.25">
      <c r="A19" s="104" t="s">
        <v>31</v>
      </c>
      <c r="B19" s="142">
        <v>3</v>
      </c>
      <c r="C19" s="108">
        <f>36000</f>
        <v>36000</v>
      </c>
      <c r="D19" s="97">
        <v>447000</v>
      </c>
      <c r="E19" s="103">
        <v>8810508</v>
      </c>
      <c r="F19" s="97">
        <f>E19*0.22+203952</f>
        <v>2142263.7599999998</v>
      </c>
      <c r="G19" s="97">
        <f t="shared" si="0"/>
        <v>11435771.76</v>
      </c>
      <c r="H19" s="101">
        <v>0.66</v>
      </c>
      <c r="I19" s="101">
        <v>0.17</v>
      </c>
      <c r="J19" s="101">
        <v>0.17</v>
      </c>
      <c r="K19" s="101"/>
      <c r="L19" s="101"/>
      <c r="M19" s="97">
        <f t="shared" si="2"/>
        <v>7547609.3616000004</v>
      </c>
      <c r="N19" s="97">
        <f t="shared" si="3"/>
        <v>1944081.1992000001</v>
      </c>
      <c r="O19" s="97">
        <f t="shared" si="4"/>
        <v>1944081.1992000001</v>
      </c>
      <c r="P19" s="97"/>
      <c r="Q19" s="97"/>
      <c r="R19" s="96"/>
      <c r="S19" s="99">
        <f t="shared" si="5"/>
        <v>11435771.760000002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s="89" customFormat="1" x14ac:dyDescent="0.25">
      <c r="A20" s="104" t="s">
        <v>32</v>
      </c>
      <c r="B20" s="96">
        <v>3</v>
      </c>
      <c r="C20" s="108">
        <v>88000</v>
      </c>
      <c r="D20" s="97">
        <v>447000</v>
      </c>
      <c r="E20" s="97">
        <v>10448580</v>
      </c>
      <c r="F20" s="97">
        <f>E20*0.22+152964</f>
        <v>2451651.6</v>
      </c>
      <c r="G20" s="97">
        <f t="shared" si="0"/>
        <v>13435231.6</v>
      </c>
      <c r="H20" s="101">
        <v>0.8</v>
      </c>
      <c r="I20" s="101">
        <v>0.1</v>
      </c>
      <c r="J20" s="101">
        <v>0.1</v>
      </c>
      <c r="K20" s="101"/>
      <c r="L20" s="101"/>
      <c r="M20" s="97">
        <f t="shared" si="2"/>
        <v>10748185.280000001</v>
      </c>
      <c r="N20" s="97">
        <f t="shared" si="3"/>
        <v>1343523.1600000001</v>
      </c>
      <c r="O20" s="97">
        <f t="shared" si="4"/>
        <v>1343523.1600000001</v>
      </c>
      <c r="P20" s="105"/>
      <c r="Q20" s="105"/>
      <c r="R20" s="96"/>
      <c r="S20" s="99">
        <f t="shared" si="5"/>
        <v>13435231.600000001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s="89" customFormat="1" x14ac:dyDescent="0.25">
      <c r="A21" s="102" t="s">
        <v>153</v>
      </c>
      <c r="B21" s="96">
        <v>1</v>
      </c>
      <c r="C21" s="108">
        <f>12000</f>
        <v>12000</v>
      </c>
      <c r="D21" s="97">
        <v>149000</v>
      </c>
      <c r="E21" s="97">
        <v>2427720</v>
      </c>
      <c r="F21" s="97">
        <f t="shared" si="1"/>
        <v>585086.4</v>
      </c>
      <c r="G21" s="97">
        <f t="shared" si="0"/>
        <v>3173806.4</v>
      </c>
      <c r="H21" s="101">
        <v>1</v>
      </c>
      <c r="I21" s="101"/>
      <c r="J21" s="101"/>
      <c r="K21" s="101"/>
      <c r="L21" s="101"/>
      <c r="M21" s="97">
        <f t="shared" si="2"/>
        <v>3173806.4</v>
      </c>
      <c r="N21" s="97">
        <f t="shared" si="3"/>
        <v>0</v>
      </c>
      <c r="O21" s="97">
        <f t="shared" si="4"/>
        <v>0</v>
      </c>
      <c r="P21" s="103"/>
      <c r="Q21" s="103"/>
      <c r="R21" s="96"/>
      <c r="S21" s="99">
        <f t="shared" si="5"/>
        <v>3173806.4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s="89" customFormat="1" x14ac:dyDescent="0.25">
      <c r="A22" s="102" t="s">
        <v>166</v>
      </c>
      <c r="B22" s="96"/>
      <c r="C22" s="108"/>
      <c r="D22" s="97"/>
      <c r="E22" s="97">
        <v>1264000</v>
      </c>
      <c r="F22" s="97">
        <f>E22*0.22</f>
        <v>278080</v>
      </c>
      <c r="G22" s="97">
        <f t="shared" si="0"/>
        <v>1542080</v>
      </c>
      <c r="H22" s="101">
        <v>1</v>
      </c>
      <c r="I22" s="101"/>
      <c r="J22" s="101"/>
      <c r="K22" s="101"/>
      <c r="L22" s="101"/>
      <c r="M22" s="97">
        <f t="shared" ref="M22" si="6">G22*H22</f>
        <v>1542080</v>
      </c>
      <c r="N22" s="97">
        <f t="shared" ref="N22" si="7">G22*I22</f>
        <v>0</v>
      </c>
      <c r="O22" s="97">
        <f t="shared" ref="O22" si="8">G22*J22</f>
        <v>0</v>
      </c>
      <c r="P22" s="103"/>
      <c r="Q22" s="103"/>
      <c r="R22" s="96"/>
      <c r="S22" s="99">
        <f t="shared" ref="S22" si="9">SUM(M22:R22)</f>
        <v>1542080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89" customFormat="1" x14ac:dyDescent="0.25">
      <c r="A23" s="102" t="s">
        <v>168</v>
      </c>
      <c r="B23" s="96"/>
      <c r="C23" s="108"/>
      <c r="D23" s="97"/>
      <c r="E23" s="97">
        <v>850000</v>
      </c>
      <c r="F23" s="97"/>
      <c r="G23" s="97">
        <f t="shared" si="0"/>
        <v>850000</v>
      </c>
      <c r="H23" s="101">
        <v>1</v>
      </c>
      <c r="I23" s="101"/>
      <c r="J23" s="101"/>
      <c r="K23" s="101"/>
      <c r="L23" s="101"/>
      <c r="M23" s="97">
        <f t="shared" ref="M23" si="10">G23*H23</f>
        <v>850000</v>
      </c>
      <c r="N23" s="97">
        <f t="shared" ref="N23" si="11">G23*I23</f>
        <v>0</v>
      </c>
      <c r="O23" s="97">
        <f t="shared" ref="O23" si="12">G23*J23</f>
        <v>0</v>
      </c>
      <c r="P23" s="103"/>
      <c r="Q23" s="103"/>
      <c r="R23" s="96"/>
      <c r="S23" s="99">
        <f t="shared" ref="S23" si="13">SUM(M23:R23)</f>
        <v>850000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89" customFormat="1" x14ac:dyDescent="0.25">
      <c r="A24" s="104" t="s">
        <v>151</v>
      </c>
      <c r="B24" s="96"/>
      <c r="C24" s="97"/>
      <c r="D24" s="97"/>
      <c r="E24" s="97">
        <v>650000</v>
      </c>
      <c r="F24" s="97">
        <f>E24*0.22</f>
        <v>143000</v>
      </c>
      <c r="G24" s="97">
        <f t="shared" si="0"/>
        <v>793000</v>
      </c>
      <c r="H24" s="101">
        <v>1</v>
      </c>
      <c r="I24" s="101"/>
      <c r="J24" s="101"/>
      <c r="K24" s="101"/>
      <c r="L24" s="101"/>
      <c r="M24" s="97">
        <f t="shared" si="2"/>
        <v>793000</v>
      </c>
      <c r="N24" s="97">
        <f t="shared" si="3"/>
        <v>0</v>
      </c>
      <c r="O24" s="97">
        <f t="shared" si="4"/>
        <v>0</v>
      </c>
      <c r="P24" s="105"/>
      <c r="Q24" s="105"/>
      <c r="R24" s="96"/>
      <c r="S24" s="99">
        <f t="shared" si="5"/>
        <v>793000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89" customFormat="1" x14ac:dyDescent="0.25">
      <c r="A25" s="104" t="s">
        <v>162</v>
      </c>
      <c r="B25" s="96"/>
      <c r="C25" s="97"/>
      <c r="D25" s="97"/>
      <c r="E25" s="97">
        <v>1100000</v>
      </c>
      <c r="F25" s="97">
        <f>E25*0.22</f>
        <v>242000</v>
      </c>
      <c r="G25" s="97">
        <f t="shared" si="0"/>
        <v>1342000</v>
      </c>
      <c r="H25" s="101">
        <v>1</v>
      </c>
      <c r="I25" s="101"/>
      <c r="J25" s="101"/>
      <c r="K25" s="101"/>
      <c r="L25" s="101"/>
      <c r="M25" s="97">
        <f t="shared" si="2"/>
        <v>1342000</v>
      </c>
      <c r="N25" s="97">
        <f t="shared" si="3"/>
        <v>0</v>
      </c>
      <c r="O25" s="97">
        <f t="shared" si="4"/>
        <v>0</v>
      </c>
      <c r="P25" s="105"/>
      <c r="Q25" s="105"/>
      <c r="R25" s="96"/>
      <c r="S25" s="99">
        <f t="shared" si="5"/>
        <v>1342000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89" customFormat="1" x14ac:dyDescent="0.25">
      <c r="A26" s="104" t="s">
        <v>157</v>
      </c>
      <c r="B26" s="96"/>
      <c r="C26" s="97"/>
      <c r="D26" s="97"/>
      <c r="E26" s="97">
        <v>200000</v>
      </c>
      <c r="F26" s="97">
        <v>60000</v>
      </c>
      <c r="G26" s="97">
        <f t="shared" si="0"/>
        <v>260000</v>
      </c>
      <c r="H26" s="101">
        <v>1</v>
      </c>
      <c r="I26" s="101"/>
      <c r="J26" s="101"/>
      <c r="K26" s="101"/>
      <c r="L26" s="101"/>
      <c r="M26" s="97">
        <f t="shared" si="2"/>
        <v>260000</v>
      </c>
      <c r="N26" s="97">
        <f t="shared" si="3"/>
        <v>0</v>
      </c>
      <c r="O26" s="97">
        <f t="shared" si="4"/>
        <v>0</v>
      </c>
      <c r="P26" s="105"/>
      <c r="Q26" s="105"/>
      <c r="R26" s="96"/>
      <c r="S26" s="99">
        <f t="shared" si="5"/>
        <v>260000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116" customFormat="1" x14ac:dyDescent="0.25">
      <c r="A27" s="113" t="s">
        <v>8</v>
      </c>
      <c r="B27" s="113">
        <f>SUM(B2:B24)</f>
        <v>30</v>
      </c>
      <c r="C27" s="114">
        <f>SUM(C2:C24)</f>
        <v>980000</v>
      </c>
      <c r="D27" s="114">
        <f>SUM(D2:D24)</f>
        <v>4470000</v>
      </c>
      <c r="E27" s="114">
        <f>SUM(E2:E26)</f>
        <v>96810764</v>
      </c>
      <c r="F27" s="114">
        <f>SUM(F2:F26)</f>
        <v>22707996.080000006</v>
      </c>
      <c r="G27" s="114">
        <f>SUM(G2:G26)</f>
        <v>124968760.08</v>
      </c>
      <c r="H27" s="115"/>
      <c r="I27" s="115"/>
      <c r="J27" s="115"/>
      <c r="K27" s="115"/>
      <c r="L27" s="115"/>
      <c r="M27" s="114">
        <f>SUM(M2:M26)</f>
        <v>93913745.013600007</v>
      </c>
      <c r="N27" s="114">
        <f>SUM(N2:N24)</f>
        <v>12080711.463200001</v>
      </c>
      <c r="O27" s="114">
        <f>SUM(O2:O24)</f>
        <v>11664940.0032</v>
      </c>
      <c r="P27" s="114">
        <f>SUM(P2:P24)</f>
        <v>3995086.4</v>
      </c>
      <c r="Q27" s="114">
        <f>SUM(Q2:Q24)</f>
        <v>3314277.2</v>
      </c>
      <c r="R27" s="114">
        <f>SUM(R2:R24)</f>
        <v>0</v>
      </c>
      <c r="S27" s="114">
        <f>SUM(M27:R27)</f>
        <v>124968760.08000001</v>
      </c>
      <c r="T27" s="92"/>
      <c r="U27" s="135">
        <f>M27/G27</f>
        <v>0.75149777395150741</v>
      </c>
      <c r="V27" s="135">
        <f>N27/G27</f>
        <v>9.6669851372986448E-2</v>
      </c>
      <c r="W27" s="135">
        <f>O27/G27</f>
        <v>9.3342848210485344E-2</v>
      </c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1:42" s="89" customFormat="1" x14ac:dyDescent="0.25">
      <c r="A28" s="104" t="s">
        <v>36</v>
      </c>
      <c r="B28" s="96"/>
      <c r="C28" s="96"/>
      <c r="D28" s="96"/>
      <c r="E28" s="96"/>
      <c r="F28" s="96"/>
      <c r="G28" s="97"/>
      <c r="H28" s="98"/>
      <c r="I28" s="97"/>
      <c r="J28" s="98"/>
      <c r="K28" s="98"/>
      <c r="L28" s="98"/>
      <c r="M28" s="103">
        <v>26905000</v>
      </c>
      <c r="N28" s="103"/>
      <c r="O28" s="103"/>
      <c r="P28" s="103">
        <v>700000</v>
      </c>
      <c r="Q28" s="103">
        <v>500000</v>
      </c>
      <c r="R28" s="103">
        <v>0</v>
      </c>
      <c r="S28" s="99">
        <f>SUM(M28:R28)</f>
        <v>28105000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</row>
    <row r="29" spans="1:42" s="89" customFormat="1" x14ac:dyDescent="0.25">
      <c r="A29" s="104" t="s">
        <v>37</v>
      </c>
      <c r="B29" s="96"/>
      <c r="C29" s="96"/>
      <c r="D29" s="96"/>
      <c r="E29" s="96"/>
      <c r="F29" s="96"/>
      <c r="G29" s="97"/>
      <c r="H29" s="98"/>
      <c r="I29" s="97"/>
      <c r="J29" s="98"/>
      <c r="K29" s="98"/>
      <c r="L29" s="98"/>
      <c r="M29" s="103"/>
      <c r="N29" s="97"/>
      <c r="O29" s="97">
        <v>1250000</v>
      </c>
      <c r="P29" s="96"/>
      <c r="Q29" s="96"/>
      <c r="R29" s="96"/>
      <c r="S29" s="99">
        <f>SUM(M29:R29)</f>
        <v>1250000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</row>
    <row r="30" spans="1:42" s="89" customFormat="1" x14ac:dyDescent="0.25">
      <c r="A30" s="104" t="s">
        <v>38</v>
      </c>
      <c r="B30" s="96"/>
      <c r="C30" s="96"/>
      <c r="D30" s="96"/>
      <c r="E30" s="96"/>
      <c r="F30" s="96"/>
      <c r="G30" s="97"/>
      <c r="H30" s="98"/>
      <c r="I30" s="97"/>
      <c r="J30" s="98"/>
      <c r="K30" s="98"/>
      <c r="L30" s="98"/>
      <c r="M30" s="103"/>
      <c r="N30" s="97">
        <v>1300000</v>
      </c>
      <c r="O30" s="97"/>
      <c r="P30" s="96"/>
      <c r="Q30" s="96"/>
      <c r="R30" s="96"/>
      <c r="S30" s="99">
        <f>SUM(M30:R30)</f>
        <v>1300000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s="89" customFormat="1" x14ac:dyDescent="0.25">
      <c r="A31" s="104" t="s">
        <v>158</v>
      </c>
      <c r="B31" s="96"/>
      <c r="C31" s="96"/>
      <c r="D31" s="96"/>
      <c r="E31" s="96"/>
      <c r="F31" s="96"/>
      <c r="G31" s="97"/>
      <c r="H31" s="98"/>
      <c r="I31" s="97"/>
      <c r="J31" s="98"/>
      <c r="K31" s="98"/>
      <c r="L31" s="98"/>
      <c r="M31" s="103">
        <v>943000</v>
      </c>
      <c r="N31" s="97">
        <v>100000</v>
      </c>
      <c r="O31" s="97">
        <v>100000</v>
      </c>
      <c r="P31" s="97"/>
      <c r="Q31" s="96"/>
      <c r="R31" s="96"/>
      <c r="S31" s="99">
        <f>SUM(M31:R31)</f>
        <v>1143000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</row>
    <row r="32" spans="1:42" s="112" customFormat="1" x14ac:dyDescent="0.25">
      <c r="A32" s="110" t="s">
        <v>12</v>
      </c>
      <c r="B32" s="110"/>
      <c r="C32" s="110"/>
      <c r="D32" s="110"/>
      <c r="E32" s="110"/>
      <c r="F32" s="110"/>
      <c r="G32" s="111"/>
      <c r="H32" s="111"/>
      <c r="I32" s="111"/>
      <c r="J32" s="111"/>
      <c r="K32" s="111"/>
      <c r="L32" s="111"/>
      <c r="M32" s="111">
        <f t="shared" ref="M32:R32" si="14">SUM(M28:M31)</f>
        <v>27848000</v>
      </c>
      <c r="N32" s="111">
        <f t="shared" si="14"/>
        <v>1400000</v>
      </c>
      <c r="O32" s="111">
        <f t="shared" si="14"/>
        <v>1350000</v>
      </c>
      <c r="P32" s="111">
        <f t="shared" si="14"/>
        <v>700000</v>
      </c>
      <c r="Q32" s="111">
        <f t="shared" si="14"/>
        <v>500000</v>
      </c>
      <c r="R32" s="111">
        <f t="shared" si="14"/>
        <v>0</v>
      </c>
      <c r="S32" s="111">
        <f>S28+S29+S30+S31</f>
        <v>31798000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s="89" customFormat="1" x14ac:dyDescent="0.25">
      <c r="A33" s="96"/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6"/>
      <c r="N33" s="96"/>
      <c r="O33" s="96"/>
      <c r="P33" s="96"/>
      <c r="Q33" s="96"/>
      <c r="R33" s="96"/>
      <c r="S33" s="96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s="91" customFormat="1" x14ac:dyDescent="0.25">
      <c r="A34" s="106"/>
      <c r="B34" s="102"/>
      <c r="C34" s="102"/>
      <c r="D34" s="102"/>
      <c r="E34" s="102"/>
      <c r="F34" s="102"/>
      <c r="G34" s="107"/>
      <c r="H34" s="107"/>
      <c r="I34" s="107"/>
      <c r="J34" s="107"/>
      <c r="K34" s="107"/>
      <c r="L34" s="107"/>
      <c r="M34" s="108">
        <f t="shared" ref="M34:S34" si="15">M27+M32</f>
        <v>121761745.01360001</v>
      </c>
      <c r="N34" s="108">
        <f t="shared" si="15"/>
        <v>13480711.463200001</v>
      </c>
      <c r="O34" s="108">
        <f t="shared" si="15"/>
        <v>13014940.0032</v>
      </c>
      <c r="P34" s="108">
        <f t="shared" si="15"/>
        <v>4695086.4000000004</v>
      </c>
      <c r="Q34" s="108">
        <f t="shared" si="15"/>
        <v>3814277.2</v>
      </c>
      <c r="R34" s="108">
        <f t="shared" si="15"/>
        <v>0</v>
      </c>
      <c r="S34" s="111">
        <f t="shared" si="15"/>
        <v>156766760.08000001</v>
      </c>
    </row>
    <row r="35" spans="1:42" s="89" customFormat="1" x14ac:dyDescent="0.25">
      <c r="G35" s="90"/>
      <c r="H35" s="90"/>
      <c r="I35" s="90"/>
      <c r="J35" s="90"/>
      <c r="K35" s="90"/>
      <c r="L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</row>
    <row r="36" spans="1:42" x14ac:dyDescent="0.25">
      <c r="G36" s="2"/>
      <c r="H36" s="2"/>
      <c r="I36" s="2"/>
      <c r="J36" s="2"/>
      <c r="K36" s="12"/>
      <c r="L36" s="12"/>
      <c r="M36" s="12"/>
    </row>
    <row r="37" spans="1:42" x14ac:dyDescent="0.25">
      <c r="A37" s="106" t="s">
        <v>20</v>
      </c>
      <c r="B37" s="102"/>
      <c r="C37" s="102"/>
      <c r="D37" s="102"/>
      <c r="E37" s="102"/>
      <c r="F37" s="102"/>
      <c r="G37" s="107">
        <f>H37+I37+J37+K37+L37</f>
        <v>30</v>
      </c>
      <c r="H37" s="107">
        <v>22.63</v>
      </c>
      <c r="I37" s="107">
        <v>2.66</v>
      </c>
      <c r="J37" s="107">
        <v>2.71</v>
      </c>
      <c r="K37" s="107">
        <v>1</v>
      </c>
      <c r="L37" s="107">
        <v>1</v>
      </c>
    </row>
    <row r="38" spans="1:42" x14ac:dyDescent="0.25">
      <c r="F38" s="1" t="s">
        <v>154</v>
      </c>
      <c r="G38" s="2">
        <v>2</v>
      </c>
      <c r="H38" s="2"/>
      <c r="I38" s="2"/>
      <c r="J38" s="2"/>
      <c r="K38" s="2"/>
      <c r="L38" s="2"/>
    </row>
    <row r="39" spans="1:42" x14ac:dyDescent="0.25">
      <c r="G39" s="2"/>
      <c r="H39" s="2"/>
      <c r="I39" s="2"/>
      <c r="J39" s="2"/>
      <c r="K39" s="2"/>
      <c r="L39" s="2"/>
    </row>
    <row r="40" spans="1:42" x14ac:dyDescent="0.25">
      <c r="G40" s="2"/>
      <c r="H40" s="2"/>
      <c r="I40" s="2"/>
      <c r="J40" s="2"/>
      <c r="K40" s="2"/>
      <c r="L40" s="2"/>
    </row>
    <row r="41" spans="1:42" x14ac:dyDescent="0.25">
      <c r="G41" s="2"/>
      <c r="H41" s="2"/>
      <c r="I41" s="2"/>
      <c r="J41" s="2"/>
      <c r="K41" s="2"/>
      <c r="L41" s="2"/>
    </row>
    <row r="42" spans="1:42" x14ac:dyDescent="0.25">
      <c r="G42" s="2"/>
      <c r="H42" s="2"/>
      <c r="I42" s="2"/>
      <c r="J42" s="2"/>
      <c r="K42" s="2"/>
      <c r="L42" s="2"/>
      <c r="M42" s="103"/>
    </row>
    <row r="43" spans="1:42" x14ac:dyDescent="0.25">
      <c r="G43" s="2"/>
      <c r="H43" s="2"/>
      <c r="I43" s="2"/>
      <c r="J43" s="2"/>
      <c r="K43" s="2"/>
      <c r="L43" s="2"/>
    </row>
    <row r="44" spans="1:42" x14ac:dyDescent="0.25">
      <c r="G44" s="2"/>
      <c r="H44" s="2"/>
      <c r="I44" s="2"/>
      <c r="J44" s="2"/>
      <c r="K44" s="2"/>
      <c r="L44" s="2"/>
    </row>
    <row r="45" spans="1:42" x14ac:dyDescent="0.25">
      <c r="G45" s="2"/>
      <c r="H45" s="2"/>
      <c r="I45" s="2"/>
      <c r="J45" s="2"/>
      <c r="K45" s="2"/>
      <c r="L45" s="2"/>
    </row>
    <row r="46" spans="1:42" x14ac:dyDescent="0.25">
      <c r="G46" s="2"/>
      <c r="H46" s="2"/>
      <c r="I46" s="2"/>
      <c r="J46" s="2"/>
      <c r="K46" s="2"/>
      <c r="L46" s="2"/>
    </row>
    <row r="47" spans="1:42" x14ac:dyDescent="0.25">
      <c r="G47" s="2"/>
      <c r="H47" s="2"/>
      <c r="I47" s="2"/>
      <c r="J47" s="2"/>
      <c r="K47" s="2"/>
      <c r="L47" s="2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&amp;LBátaszéki Közös Önkormányzati Hivatal&amp;C2017.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zoomScaleNormal="100" workbookViewId="0">
      <selection activeCell="M19" sqref="M19"/>
    </sheetView>
  </sheetViews>
  <sheetFormatPr defaultColWidth="8.85546875" defaultRowHeight="15" x14ac:dyDescent="0.25"/>
  <cols>
    <col min="1" max="1" width="28.5703125" style="1" bestFit="1" customWidth="1"/>
    <col min="2" max="2" width="8.42578125" style="1" customWidth="1"/>
    <col min="3" max="3" width="13.7109375" style="1" customWidth="1"/>
    <col min="4" max="4" width="11" style="1" customWidth="1"/>
    <col min="5" max="5" width="10.5703125" style="1" customWidth="1"/>
    <col min="6" max="6" width="12.5703125" style="1" customWidth="1"/>
    <col min="7" max="7" width="14.28515625" style="1" customWidth="1"/>
    <col min="8" max="8" width="12" style="1" customWidth="1"/>
    <col min="9" max="9" width="12" style="1" bestFit="1" customWidth="1"/>
    <col min="10" max="10" width="10.42578125" style="1" customWidth="1"/>
    <col min="11" max="11" width="11.85546875" style="1" customWidth="1"/>
    <col min="12" max="12" width="12" style="1" customWidth="1"/>
    <col min="13" max="13" width="14" style="1" customWidth="1"/>
    <col min="14" max="45" width="8.85546875" style="3"/>
    <col min="46" max="16384" width="8.85546875" style="1"/>
  </cols>
  <sheetData>
    <row r="1" spans="1:45" ht="65.45" customHeight="1" x14ac:dyDescent="0.25">
      <c r="A1" s="122" t="s">
        <v>13</v>
      </c>
      <c r="B1" s="122" t="s">
        <v>7</v>
      </c>
      <c r="C1" s="122" t="s">
        <v>0</v>
      </c>
      <c r="D1" s="117" t="s">
        <v>4</v>
      </c>
      <c r="E1" s="117" t="s">
        <v>5</v>
      </c>
      <c r="F1" s="117" t="s">
        <v>6</v>
      </c>
      <c r="G1" s="122" t="s">
        <v>1</v>
      </c>
      <c r="H1" s="122" t="s">
        <v>2</v>
      </c>
      <c r="I1" s="122" t="s">
        <v>3</v>
      </c>
      <c r="J1" s="117" t="s">
        <v>18</v>
      </c>
      <c r="K1" s="117" t="s">
        <v>19</v>
      </c>
      <c r="L1" s="117"/>
      <c r="M1" s="123" t="s">
        <v>12</v>
      </c>
      <c r="P1" s="122" t="s">
        <v>1</v>
      </c>
      <c r="Q1" s="122" t="s">
        <v>2</v>
      </c>
      <c r="R1" s="122" t="s">
        <v>3</v>
      </c>
    </row>
    <row r="2" spans="1:45" ht="28.5" customHeight="1" x14ac:dyDescent="0.25">
      <c r="A2" s="7" t="s">
        <v>14</v>
      </c>
      <c r="B2" s="1">
        <v>25.54</v>
      </c>
      <c r="C2" s="2">
        <v>116957095</v>
      </c>
      <c r="D2" s="5">
        <v>21.91</v>
      </c>
      <c r="E2" s="5">
        <v>1.89</v>
      </c>
      <c r="F2" s="5">
        <v>1.74</v>
      </c>
      <c r="G2" s="6">
        <f>D2*4579369+11</f>
        <v>100333985.79000001</v>
      </c>
      <c r="H2" s="6">
        <f>E2*4579369</f>
        <v>8655007.4100000001</v>
      </c>
      <c r="I2" s="6">
        <f>F2*4579369</f>
        <v>7968102.0599999996</v>
      </c>
      <c r="J2" s="2"/>
      <c r="K2" s="2"/>
      <c r="L2" s="2"/>
      <c r="M2" s="6">
        <f>SUM(G2:L2)</f>
        <v>116957095.26000001</v>
      </c>
      <c r="P2" s="134">
        <f>G2/M2</f>
        <v>0.85787002119840439</v>
      </c>
      <c r="Q2" s="134">
        <f>H2/M2</f>
        <v>7.4001559210748136E-2</v>
      </c>
      <c r="R2" s="134">
        <f>I2/M2</f>
        <v>6.8128419590847478E-2</v>
      </c>
    </row>
    <row r="3" spans="1:45" s="89" customFormat="1" x14ac:dyDescent="0.25">
      <c r="A3" s="119" t="s">
        <v>15</v>
      </c>
      <c r="B3" s="96"/>
      <c r="C3" s="103">
        <v>200000</v>
      </c>
      <c r="D3" s="97"/>
      <c r="E3" s="97"/>
      <c r="F3" s="97"/>
      <c r="G3" s="103">
        <v>200000</v>
      </c>
      <c r="H3" s="97">
        <v>0</v>
      </c>
      <c r="I3" s="97">
        <v>0</v>
      </c>
      <c r="J3" s="97"/>
      <c r="K3" s="97"/>
      <c r="L3" s="97"/>
      <c r="M3" s="99">
        <f>SUM(G3:L3)</f>
        <v>200000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</row>
    <row r="4" spans="1:45" s="89" customFormat="1" x14ac:dyDescent="0.25">
      <c r="A4" s="119" t="s">
        <v>16</v>
      </c>
      <c r="B4" s="96"/>
      <c r="C4" s="103">
        <v>1510000</v>
      </c>
      <c r="D4" s="97"/>
      <c r="E4" s="97"/>
      <c r="F4" s="97"/>
      <c r="G4" s="103">
        <v>1510000</v>
      </c>
      <c r="H4" s="97"/>
      <c r="I4" s="97"/>
      <c r="J4" s="97"/>
      <c r="K4" s="97"/>
      <c r="L4" s="97"/>
      <c r="M4" s="99">
        <f t="shared" ref="M4:M10" si="0">SUM(G4:L4)</f>
        <v>1510000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</row>
    <row r="5" spans="1:45" s="89" customFormat="1" x14ac:dyDescent="0.25">
      <c r="A5" s="119" t="s">
        <v>17</v>
      </c>
      <c r="B5" s="96"/>
      <c r="C5" s="103">
        <v>462000</v>
      </c>
      <c r="D5" s="97"/>
      <c r="E5" s="97"/>
      <c r="F5" s="97"/>
      <c r="G5" s="103">
        <v>462000</v>
      </c>
      <c r="H5" s="97"/>
      <c r="I5" s="97"/>
      <c r="J5" s="97"/>
      <c r="K5" s="97"/>
      <c r="L5" s="97"/>
      <c r="M5" s="99">
        <f t="shared" si="0"/>
        <v>462000</v>
      </c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</row>
    <row r="6" spans="1:45" s="89" customFormat="1" x14ac:dyDescent="0.25">
      <c r="A6" s="119" t="s">
        <v>155</v>
      </c>
      <c r="B6" s="96"/>
      <c r="C6" s="103">
        <v>123000</v>
      </c>
      <c r="D6" s="97"/>
      <c r="E6" s="97"/>
      <c r="F6" s="97"/>
      <c r="G6" s="103">
        <v>123000</v>
      </c>
      <c r="H6" s="97"/>
      <c r="I6" s="97"/>
      <c r="J6" s="97"/>
      <c r="K6" s="97"/>
      <c r="L6" s="97"/>
      <c r="M6" s="99">
        <f t="shared" si="0"/>
        <v>123000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1:45" s="89" customFormat="1" x14ac:dyDescent="0.25">
      <c r="A7" s="119" t="s">
        <v>160</v>
      </c>
      <c r="B7" s="96"/>
      <c r="C7" s="103">
        <v>4000</v>
      </c>
      <c r="D7" s="97"/>
      <c r="E7" s="97"/>
      <c r="F7" s="97"/>
      <c r="G7" s="103">
        <v>4000</v>
      </c>
      <c r="H7" s="97"/>
      <c r="I7" s="97"/>
      <c r="J7" s="97"/>
      <c r="K7" s="97"/>
      <c r="L7" s="97"/>
      <c r="M7" s="99">
        <f t="shared" si="0"/>
        <v>4000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</row>
    <row r="8" spans="1:45" s="89" customFormat="1" x14ac:dyDescent="0.25">
      <c r="A8" s="119" t="s">
        <v>159</v>
      </c>
      <c r="B8" s="96"/>
      <c r="C8" s="103">
        <v>200000</v>
      </c>
      <c r="D8" s="97"/>
      <c r="E8" s="97"/>
      <c r="F8" s="97"/>
      <c r="G8" s="103">
        <v>200000</v>
      </c>
      <c r="H8" s="97"/>
      <c r="I8" s="97"/>
      <c r="J8" s="97"/>
      <c r="K8" s="97"/>
      <c r="L8" s="97"/>
      <c r="M8" s="99">
        <f t="shared" si="0"/>
        <v>200000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</row>
    <row r="9" spans="1:45" s="89" customFormat="1" x14ac:dyDescent="0.25">
      <c r="A9" s="121" t="s">
        <v>100</v>
      </c>
      <c r="B9" s="96"/>
      <c r="C9" s="103">
        <v>0</v>
      </c>
      <c r="D9" s="97"/>
      <c r="E9" s="97"/>
      <c r="F9" s="97"/>
      <c r="G9" s="103">
        <v>0</v>
      </c>
      <c r="H9" s="97"/>
      <c r="I9" s="97"/>
      <c r="J9" s="97"/>
      <c r="K9" s="97"/>
      <c r="L9" s="97"/>
      <c r="M9" s="99">
        <f t="shared" si="0"/>
        <v>0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</row>
    <row r="10" spans="1:45" s="89" customFormat="1" x14ac:dyDescent="0.25">
      <c r="A10" s="121" t="s">
        <v>156</v>
      </c>
      <c r="B10" s="96"/>
      <c r="C10" s="103">
        <v>1000</v>
      </c>
      <c r="D10" s="97"/>
      <c r="E10" s="97"/>
      <c r="F10" s="97"/>
      <c r="G10" s="103">
        <v>1000</v>
      </c>
      <c r="H10" s="97"/>
      <c r="I10" s="97"/>
      <c r="J10" s="97"/>
      <c r="K10" s="97"/>
      <c r="L10" s="97"/>
      <c r="M10" s="99">
        <f t="shared" si="0"/>
        <v>1000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</row>
    <row r="11" spans="1:45" s="89" customFormat="1" ht="26.25" x14ac:dyDescent="0.25">
      <c r="A11" s="120" t="s">
        <v>35</v>
      </c>
      <c r="B11" s="96"/>
      <c r="C11" s="103">
        <f>J11+K11+L11</f>
        <v>0</v>
      </c>
      <c r="D11" s="97"/>
      <c r="E11" s="97"/>
      <c r="F11" s="97"/>
      <c r="G11" s="103"/>
      <c r="H11" s="97"/>
      <c r="I11" s="97"/>
      <c r="J11" s="97"/>
      <c r="K11" s="97"/>
      <c r="L11" s="97"/>
      <c r="M11" s="99">
        <f t="shared" ref="M11:M12" si="1">SUM(G11:L11)</f>
        <v>0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</row>
    <row r="12" spans="1:45" s="89" customFormat="1" x14ac:dyDescent="0.25">
      <c r="A12" s="140" t="s">
        <v>167</v>
      </c>
      <c r="B12" s="141"/>
      <c r="C12" s="105"/>
      <c r="D12" s="99"/>
      <c r="E12" s="99"/>
      <c r="F12" s="99"/>
      <c r="G12" s="105">
        <f>SUM(G3:G11)</f>
        <v>2500000</v>
      </c>
      <c r="H12" s="99"/>
      <c r="I12" s="99"/>
      <c r="J12" s="99"/>
      <c r="K12" s="99"/>
      <c r="L12" s="99"/>
      <c r="M12" s="99">
        <f t="shared" si="1"/>
        <v>2500000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</row>
    <row r="13" spans="1:45" s="89" customFormat="1" x14ac:dyDescent="0.25">
      <c r="A13" s="121"/>
      <c r="B13" s="96"/>
      <c r="C13" s="103"/>
      <c r="D13" s="97"/>
      <c r="E13" s="97"/>
      <c r="F13" s="97"/>
      <c r="G13" s="103"/>
      <c r="H13" s="97"/>
      <c r="I13" s="97"/>
      <c r="J13" s="97"/>
      <c r="K13" s="97"/>
      <c r="L13" s="97"/>
      <c r="M13" s="99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</row>
    <row r="14" spans="1:45" s="94" customFormat="1" x14ac:dyDescent="0.25">
      <c r="A14" s="129" t="s">
        <v>39</v>
      </c>
      <c r="B14" s="125"/>
      <c r="C14" s="124">
        <f>SUM(C2:C12)</f>
        <v>119457095</v>
      </c>
      <c r="D14" s="124"/>
      <c r="E14" s="124"/>
      <c r="F14" s="124"/>
      <c r="G14" s="124">
        <f t="shared" ref="G14:L14" si="2">G2+G12</f>
        <v>102833985.79000001</v>
      </c>
      <c r="H14" s="124">
        <f t="shared" si="2"/>
        <v>8655007.4100000001</v>
      </c>
      <c r="I14" s="124">
        <f t="shared" si="2"/>
        <v>7968102.0599999996</v>
      </c>
      <c r="J14" s="124">
        <f t="shared" si="2"/>
        <v>0</v>
      </c>
      <c r="K14" s="124">
        <f t="shared" si="2"/>
        <v>0</v>
      </c>
      <c r="L14" s="124">
        <f t="shared" si="2"/>
        <v>0</v>
      </c>
      <c r="M14" s="124">
        <f>SUM(G14:L14)</f>
        <v>119457095.26000001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s="92" customFormat="1" x14ac:dyDescent="0.25">
      <c r="A15" s="139"/>
      <c r="B15" s="106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45" ht="28.5" customHeight="1" x14ac:dyDescent="0.25">
      <c r="A16" s="7" t="s">
        <v>132</v>
      </c>
      <c r="C16" s="2"/>
      <c r="D16" s="5"/>
      <c r="E16" s="5"/>
      <c r="F16" s="5"/>
      <c r="G16" s="6">
        <f>'1.mell.Kiadások'!M34</f>
        <v>121761745.01360001</v>
      </c>
      <c r="H16" s="6">
        <f>'1.mell.Kiadások'!N34</f>
        <v>13480711.463200001</v>
      </c>
      <c r="I16" s="6">
        <f>'1.mell.Kiadások'!O34</f>
        <v>13014940.0032</v>
      </c>
      <c r="J16" s="2">
        <f>'1.mell.Kiadások'!P34</f>
        <v>4695086.4000000004</v>
      </c>
      <c r="K16" s="2">
        <f>'1.mell.Kiadások'!Q34</f>
        <v>3814277.2</v>
      </c>
      <c r="L16" s="2">
        <f>'1.mell.Kiadások'!R48</f>
        <v>0</v>
      </c>
      <c r="M16" s="6">
        <f>SUM(G16:L16)</f>
        <v>156766760.07999998</v>
      </c>
    </row>
    <row r="17" spans="1:45" s="93" customFormat="1" ht="28.5" customHeight="1" x14ac:dyDescent="0.25">
      <c r="A17" s="126" t="s">
        <v>152</v>
      </c>
      <c r="B17" s="127"/>
      <c r="C17" s="109"/>
      <c r="D17" s="128"/>
      <c r="E17" s="128"/>
      <c r="F17" s="128"/>
      <c r="G17" s="111">
        <f t="shared" ref="G17:L17" si="3">G16-G14</f>
        <v>18927759.2236</v>
      </c>
      <c r="H17" s="111">
        <f t="shared" si="3"/>
        <v>4825704.0532000009</v>
      </c>
      <c r="I17" s="111">
        <f t="shared" si="3"/>
        <v>5046837.9432000006</v>
      </c>
      <c r="J17" s="109">
        <f t="shared" si="3"/>
        <v>4695086.4000000004</v>
      </c>
      <c r="K17" s="109">
        <f t="shared" si="3"/>
        <v>3814277.2</v>
      </c>
      <c r="L17" s="109">
        <f t="shared" si="3"/>
        <v>0</v>
      </c>
      <c r="M17" s="111">
        <f>SUM(G17:L17)</f>
        <v>37309664.82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</row>
    <row r="18" spans="1:45" ht="28.5" customHeight="1" x14ac:dyDescent="0.25">
      <c r="A18" s="7"/>
      <c r="C18" s="2"/>
      <c r="D18" s="5"/>
      <c r="E18" s="5"/>
      <c r="F18" s="5"/>
      <c r="G18" s="6"/>
      <c r="H18" s="6"/>
      <c r="I18" s="6"/>
      <c r="J18" s="2"/>
      <c r="K18" s="2"/>
      <c r="L18" s="2"/>
      <c r="M18" s="6"/>
    </row>
    <row r="19" spans="1:45" s="91" customFormat="1" ht="88.5" customHeight="1" x14ac:dyDescent="0.25">
      <c r="A19" s="131"/>
      <c r="B19" s="102"/>
      <c r="C19" s="108"/>
      <c r="D19" s="132"/>
      <c r="E19" s="132"/>
      <c r="F19" s="132"/>
      <c r="G19" s="133"/>
      <c r="H19" s="136" t="s">
        <v>172</v>
      </c>
      <c r="I19" s="136" t="s">
        <v>171</v>
      </c>
      <c r="J19" s="108"/>
      <c r="K19" s="108"/>
      <c r="L19" s="108"/>
      <c r="M19" s="106"/>
    </row>
    <row r="20" spans="1:45" s="3" customFormat="1" x14ac:dyDescent="0.25">
      <c r="C20" s="4"/>
      <c r="D20" s="4"/>
      <c r="E20" s="4"/>
      <c r="F20" s="4"/>
      <c r="G20" s="4"/>
      <c r="H20" s="4"/>
      <c r="I20" s="4"/>
    </row>
    <row r="21" spans="1:45" s="3" customFormat="1" x14ac:dyDescent="0.25">
      <c r="C21" s="4"/>
      <c r="D21" s="4"/>
      <c r="E21" s="4"/>
      <c r="F21" s="4"/>
      <c r="G21" s="4"/>
      <c r="H21" s="4"/>
      <c r="I21" s="4"/>
    </row>
    <row r="22" spans="1:45" s="3" customFormat="1" x14ac:dyDescent="0.25">
      <c r="C22" s="4"/>
      <c r="D22" s="4"/>
      <c r="E22" s="4"/>
      <c r="F22" s="4"/>
      <c r="G22" s="4"/>
      <c r="H22" s="4"/>
      <c r="I22" s="4"/>
    </row>
    <row r="23" spans="1:45" s="3" customFormat="1" x14ac:dyDescent="0.25">
      <c r="C23" s="4"/>
      <c r="D23" s="4"/>
      <c r="E23" s="4"/>
      <c r="F23" s="4"/>
      <c r="G23" s="4"/>
      <c r="H23" s="4"/>
      <c r="I23" s="4"/>
    </row>
    <row r="24" spans="1:45" s="3" customFormat="1" x14ac:dyDescent="0.25">
      <c r="C24" s="4"/>
      <c r="D24" s="4"/>
      <c r="E24" s="4"/>
      <c r="F24" s="4"/>
      <c r="G24" s="4"/>
      <c r="H24" s="4"/>
      <c r="I24" s="4"/>
    </row>
    <row r="25" spans="1:45" s="3" customFormat="1" x14ac:dyDescent="0.25">
      <c r="C25" s="4"/>
      <c r="D25" s="4"/>
      <c r="E25" s="4"/>
      <c r="F25" s="4"/>
      <c r="G25" s="4"/>
      <c r="H25" s="4"/>
      <c r="I25" s="4"/>
    </row>
    <row r="26" spans="1:45" s="3" customFormat="1" x14ac:dyDescent="0.25">
      <c r="C26" s="4"/>
      <c r="D26" s="4"/>
      <c r="E26" s="4"/>
      <c r="F26" s="4"/>
      <c r="G26" s="4"/>
      <c r="H26" s="4"/>
      <c r="I26" s="4"/>
    </row>
    <row r="27" spans="1:45" s="3" customFormat="1" x14ac:dyDescent="0.25">
      <c r="C27" s="4"/>
      <c r="D27" s="4"/>
      <c r="E27" s="4"/>
      <c r="F27" s="4"/>
      <c r="G27" s="4"/>
      <c r="H27" s="4"/>
      <c r="I27" s="4"/>
    </row>
    <row r="28" spans="1:45" s="95" customFormat="1" x14ac:dyDescent="0.25">
      <c r="C28" s="12"/>
      <c r="D28" s="12"/>
      <c r="E28" s="12"/>
      <c r="F28" s="12"/>
      <c r="G28" s="12"/>
      <c r="H28" s="12"/>
      <c r="I28" s="12"/>
    </row>
    <row r="29" spans="1:45" s="3" customFormat="1" x14ac:dyDescent="0.25">
      <c r="C29" s="4"/>
      <c r="D29" s="4"/>
      <c r="E29" s="4"/>
      <c r="F29" s="4"/>
      <c r="G29" s="4"/>
      <c r="H29" s="4"/>
      <c r="I29" s="4"/>
    </row>
    <row r="30" spans="1:45" s="3" customFormat="1" x14ac:dyDescent="0.25">
      <c r="C30" s="4"/>
      <c r="D30" s="4"/>
      <c r="E30" s="4"/>
      <c r="F30" s="4"/>
      <c r="G30" s="4"/>
      <c r="H30" s="4"/>
      <c r="I30" s="4"/>
    </row>
    <row r="31" spans="1:45" s="3" customFormat="1" x14ac:dyDescent="0.25">
      <c r="C31" s="4"/>
      <c r="D31" s="4"/>
      <c r="E31" s="4"/>
      <c r="F31" s="4"/>
      <c r="G31" s="4"/>
      <c r="H31" s="4"/>
      <c r="I31" s="4"/>
    </row>
    <row r="32" spans="1:45" s="3" customFormat="1" x14ac:dyDescent="0.25">
      <c r="C32" s="4"/>
      <c r="D32" s="4"/>
      <c r="E32" s="4"/>
      <c r="F32" s="4"/>
      <c r="G32" s="4"/>
      <c r="H32" s="4"/>
      <c r="I32" s="4"/>
    </row>
    <row r="33" spans="3:9" s="3" customFormat="1" x14ac:dyDescent="0.25">
      <c r="C33" s="4"/>
      <c r="D33" s="4"/>
      <c r="E33" s="4"/>
      <c r="F33" s="4"/>
      <c r="G33" s="4"/>
      <c r="H33" s="4"/>
      <c r="I33" s="4"/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/>
      <c r="D35" s="2"/>
      <c r="E35" s="2"/>
      <c r="F35" s="2"/>
      <c r="G35" s="2"/>
      <c r="H35" s="2"/>
      <c r="I35" s="2"/>
    </row>
    <row r="36" spans="3:9" x14ac:dyDescent="0.25">
      <c r="C36" s="2"/>
      <c r="D36" s="2"/>
      <c r="E36" s="2"/>
      <c r="F36" s="2"/>
      <c r="G36" s="2"/>
      <c r="H36" s="2"/>
      <c r="I36" s="2"/>
    </row>
    <row r="37" spans="3:9" x14ac:dyDescent="0.25">
      <c r="C37" s="2"/>
      <c r="D37" s="2"/>
      <c r="E37" s="2"/>
      <c r="F37" s="2"/>
      <c r="G37" s="2"/>
      <c r="H37" s="2"/>
      <c r="I37" s="2"/>
    </row>
    <row r="38" spans="3:9" x14ac:dyDescent="0.25">
      <c r="C38" s="2"/>
      <c r="D38" s="2"/>
      <c r="E38" s="2"/>
      <c r="F38" s="2"/>
      <c r="G38" s="2"/>
      <c r="H38" s="2"/>
      <c r="I38" s="2"/>
    </row>
    <row r="39" spans="3:9" x14ac:dyDescent="0.25">
      <c r="C39" s="2"/>
      <c r="D39" s="2"/>
      <c r="E39" s="2"/>
      <c r="F39" s="2"/>
      <c r="G39" s="2"/>
      <c r="H39" s="2"/>
      <c r="I39" s="2"/>
    </row>
    <row r="40" spans="3:9" x14ac:dyDescent="0.25">
      <c r="C40" s="2"/>
      <c r="D40" s="2"/>
      <c r="E40" s="2"/>
      <c r="F40" s="2"/>
      <c r="G40" s="2"/>
      <c r="H40" s="2"/>
      <c r="I40" s="2"/>
    </row>
    <row r="41" spans="3:9" x14ac:dyDescent="0.25">
      <c r="C41" s="2"/>
      <c r="D41" s="2"/>
      <c r="E41" s="2"/>
      <c r="F41" s="2"/>
      <c r="G41" s="2"/>
      <c r="H41" s="2"/>
      <c r="I41" s="2"/>
    </row>
    <row r="42" spans="3:9" x14ac:dyDescent="0.25">
      <c r="C42" s="2"/>
      <c r="D42" s="2"/>
      <c r="E42" s="2"/>
      <c r="F42" s="2"/>
      <c r="G42" s="2"/>
      <c r="H42" s="2"/>
      <c r="I42" s="2"/>
    </row>
    <row r="43" spans="3:9" x14ac:dyDescent="0.25">
      <c r="C43" s="2"/>
      <c r="D43" s="2"/>
      <c r="E43" s="2"/>
      <c r="F43" s="2"/>
      <c r="G43" s="2"/>
      <c r="H43" s="2"/>
      <c r="I43" s="2"/>
    </row>
    <row r="44" spans="3:9" x14ac:dyDescent="0.25">
      <c r="C44" s="2"/>
      <c r="D44" s="2"/>
      <c r="E44" s="2"/>
      <c r="F44" s="2"/>
      <c r="G44" s="2"/>
      <c r="H44" s="2"/>
      <c r="I44" s="2"/>
    </row>
    <row r="45" spans="3:9" x14ac:dyDescent="0.25">
      <c r="C45" s="2"/>
      <c r="D45" s="2"/>
      <c r="E45" s="2"/>
      <c r="F45" s="2"/>
      <c r="G45" s="2"/>
      <c r="H45" s="2"/>
      <c r="I45" s="2"/>
    </row>
    <row r="46" spans="3:9" x14ac:dyDescent="0.25">
      <c r="C46" s="2"/>
      <c r="D46" s="2"/>
      <c r="E46" s="2"/>
      <c r="F46" s="2"/>
      <c r="G46" s="2"/>
      <c r="H46" s="2"/>
      <c r="I46" s="2"/>
    </row>
    <row r="47" spans="3:9" x14ac:dyDescent="0.25">
      <c r="C47" s="2"/>
      <c r="D47" s="2"/>
      <c r="E47" s="2"/>
      <c r="F47" s="2"/>
      <c r="G47" s="2"/>
      <c r="H47" s="2"/>
      <c r="I47" s="2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&amp;LBátaszéki Közös Önkormányzati Hivatal&amp;C2017. évi terv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H13" sqref="H13"/>
    </sheetView>
  </sheetViews>
  <sheetFormatPr defaultRowHeight="15" x14ac:dyDescent="0.25"/>
  <cols>
    <col min="1" max="1" width="21.28515625" customWidth="1"/>
    <col min="3" max="3" width="13.28515625" bestFit="1" customWidth="1"/>
    <col min="4" max="4" width="20.140625" customWidth="1"/>
  </cols>
  <sheetData>
    <row r="2" spans="1:7" x14ac:dyDescent="0.25">
      <c r="A2" s="14" t="s">
        <v>165</v>
      </c>
      <c r="B2" s="8"/>
      <c r="C2" s="8"/>
      <c r="D2" s="8"/>
      <c r="E2" s="8"/>
      <c r="F2" s="8"/>
      <c r="G2" s="8"/>
    </row>
    <row r="3" spans="1:7" ht="14.45" x14ac:dyDescent="0.3">
      <c r="A3" s="8"/>
      <c r="B3" s="8"/>
      <c r="C3" s="8"/>
      <c r="D3" s="8"/>
      <c r="E3" s="8"/>
      <c r="F3" s="8"/>
      <c r="G3" s="8"/>
    </row>
    <row r="4" spans="1:7" x14ac:dyDescent="0.25">
      <c r="A4" s="8" t="s">
        <v>9</v>
      </c>
      <c r="B4" s="8">
        <v>6505</v>
      </c>
      <c r="C4" s="9">
        <f>B4/B7</f>
        <v>0.81180581554973164</v>
      </c>
      <c r="D4" s="8"/>
      <c r="E4" s="8"/>
      <c r="F4" s="8"/>
      <c r="G4" s="8"/>
    </row>
    <row r="5" spans="1:7" x14ac:dyDescent="0.25">
      <c r="A5" s="8" t="s">
        <v>10</v>
      </c>
      <c r="B5" s="8">
        <v>781</v>
      </c>
      <c r="C5" s="9">
        <f>B5/B7</f>
        <v>9.7466616747784854E-2</v>
      </c>
      <c r="D5" s="8"/>
      <c r="E5" s="8"/>
      <c r="F5" s="8"/>
      <c r="G5" s="8"/>
    </row>
    <row r="6" spans="1:7" x14ac:dyDescent="0.25">
      <c r="A6" s="8" t="s">
        <v>11</v>
      </c>
      <c r="B6" s="8">
        <v>727</v>
      </c>
      <c r="C6" s="9">
        <f>B6/B7</f>
        <v>9.0727567702483469E-2</v>
      </c>
      <c r="D6" s="8"/>
      <c r="E6" s="8"/>
      <c r="F6" s="8"/>
      <c r="G6" s="8"/>
    </row>
    <row r="7" spans="1:7" x14ac:dyDescent="0.25">
      <c r="A7" s="8" t="s">
        <v>12</v>
      </c>
      <c r="B7" s="8">
        <f>SUM(B4:B6)</f>
        <v>8013</v>
      </c>
      <c r="C7" s="9">
        <f>SUM(C4:C6)</f>
        <v>1</v>
      </c>
      <c r="D7" s="8"/>
      <c r="E7" s="8"/>
      <c r="F7" s="8"/>
      <c r="G7" s="8"/>
    </row>
    <row r="8" spans="1:7" ht="14.45" x14ac:dyDescent="0.3">
      <c r="A8" s="8"/>
      <c r="B8" s="8"/>
      <c r="C8" s="8"/>
      <c r="D8" s="8"/>
      <c r="E8" s="8"/>
      <c r="F8" s="8"/>
      <c r="G8" s="8"/>
    </row>
    <row r="10" spans="1:7" x14ac:dyDescent="0.25">
      <c r="B10" s="13" t="s">
        <v>165</v>
      </c>
      <c r="C10" s="13"/>
      <c r="D10" s="13"/>
    </row>
    <row r="11" spans="1:7" x14ac:dyDescent="0.25">
      <c r="D11" t="s">
        <v>54</v>
      </c>
    </row>
    <row r="12" spans="1:7" x14ac:dyDescent="0.25">
      <c r="A12" t="s">
        <v>50</v>
      </c>
      <c r="B12" t="s">
        <v>52</v>
      </c>
      <c r="C12" t="s">
        <v>53</v>
      </c>
      <c r="D12" s="2"/>
    </row>
    <row r="13" spans="1:7" x14ac:dyDescent="0.25">
      <c r="A13" t="s">
        <v>1</v>
      </c>
      <c r="B13" s="11">
        <v>6505</v>
      </c>
      <c r="C13" s="10">
        <v>0.82699999999999996</v>
      </c>
      <c r="D13" s="11">
        <f>D12*C13</f>
        <v>0</v>
      </c>
    </row>
    <row r="14" spans="1:7" x14ac:dyDescent="0.25">
      <c r="A14" t="s">
        <v>2</v>
      </c>
      <c r="B14" s="11">
        <v>781</v>
      </c>
      <c r="C14" s="10">
        <v>0.1</v>
      </c>
      <c r="D14" s="11">
        <f>D12*C14</f>
        <v>0</v>
      </c>
    </row>
    <row r="15" spans="1:7" x14ac:dyDescent="0.25">
      <c r="A15" t="s">
        <v>51</v>
      </c>
      <c r="B15" s="11">
        <v>567</v>
      </c>
      <c r="C15" s="10">
        <v>7.2999999999999995E-2</v>
      </c>
      <c r="D15" s="11">
        <f>D12*C15</f>
        <v>0</v>
      </c>
    </row>
    <row r="16" spans="1:7" x14ac:dyDescent="0.25">
      <c r="B16" s="11">
        <f>SUM(B13:B15)</f>
        <v>7853</v>
      </c>
      <c r="C16" s="10">
        <f>SUM(C13:C15)</f>
        <v>0.99999999999999989</v>
      </c>
      <c r="D16" s="11">
        <f>SUM(D13:D15)</f>
        <v>0</v>
      </c>
    </row>
    <row r="17" spans="1:4" x14ac:dyDescent="0.25">
      <c r="B17" s="11"/>
    </row>
    <row r="18" spans="1:4" x14ac:dyDescent="0.25">
      <c r="B18" s="11"/>
    </row>
    <row r="19" spans="1:4" x14ac:dyDescent="0.25">
      <c r="A19" t="s">
        <v>56</v>
      </c>
      <c r="B19" s="11"/>
      <c r="D19" t="s">
        <v>54</v>
      </c>
    </row>
    <row r="20" spans="1:4" x14ac:dyDescent="0.25">
      <c r="B20" s="11"/>
      <c r="D20" s="2">
        <v>2457040</v>
      </c>
    </row>
    <row r="21" spans="1:4" x14ac:dyDescent="0.25">
      <c r="A21" t="s">
        <v>1</v>
      </c>
      <c r="B21" s="11">
        <v>6505</v>
      </c>
      <c r="C21" s="10">
        <v>0.501</v>
      </c>
      <c r="D21" s="11">
        <f>D20*C21</f>
        <v>1230977.04</v>
      </c>
    </row>
    <row r="22" spans="1:4" x14ac:dyDescent="0.25">
      <c r="A22" t="s">
        <v>3</v>
      </c>
      <c r="B22" s="11">
        <v>727</v>
      </c>
      <c r="C22" s="10">
        <v>5.5E-2</v>
      </c>
      <c r="D22" s="11">
        <f>D20*C22</f>
        <v>135137.20000000001</v>
      </c>
    </row>
    <row r="23" spans="1:4" x14ac:dyDescent="0.25">
      <c r="A23" t="s">
        <v>2</v>
      </c>
      <c r="B23" s="11">
        <v>781</v>
      </c>
      <c r="C23" s="10">
        <v>0.06</v>
      </c>
      <c r="D23" s="11">
        <f>D20*C23</f>
        <v>147422.39999999999</v>
      </c>
    </row>
    <row r="24" spans="1:4" x14ac:dyDescent="0.25">
      <c r="A24" t="s">
        <v>57</v>
      </c>
      <c r="B24" s="11">
        <v>1697</v>
      </c>
      <c r="C24" s="10">
        <v>0.13200000000000001</v>
      </c>
      <c r="D24" s="11">
        <f>D20*C24</f>
        <v>324329.28000000003</v>
      </c>
    </row>
    <row r="25" spans="1:4" x14ac:dyDescent="0.25">
      <c r="A25" s="137" t="s">
        <v>55</v>
      </c>
      <c r="B25" s="138"/>
      <c r="C25" s="10">
        <v>0.06</v>
      </c>
      <c r="D25" s="11">
        <f>D20*C25</f>
        <v>147422.39999999999</v>
      </c>
    </row>
    <row r="26" spans="1:4" x14ac:dyDescent="0.25">
      <c r="A26" t="s">
        <v>51</v>
      </c>
      <c r="B26" s="11">
        <v>567</v>
      </c>
      <c r="C26" s="10">
        <v>4.3999999999999997E-2</v>
      </c>
      <c r="D26" s="11">
        <f>D20*C26</f>
        <v>108109.75999999999</v>
      </c>
    </row>
    <row r="27" spans="1:4" x14ac:dyDescent="0.25">
      <c r="A27" t="s">
        <v>58</v>
      </c>
      <c r="B27" s="11">
        <v>706</v>
      </c>
      <c r="C27" s="10">
        <v>5.3999999999999999E-2</v>
      </c>
      <c r="D27" s="11">
        <f>D20*C27</f>
        <v>132680.16</v>
      </c>
    </row>
    <row r="28" spans="1:4" x14ac:dyDescent="0.25">
      <c r="A28" t="s">
        <v>59</v>
      </c>
      <c r="B28" s="11">
        <v>1211</v>
      </c>
      <c r="C28" s="10">
        <v>9.4E-2</v>
      </c>
      <c r="D28" s="11">
        <f>D20*C28</f>
        <v>230961.76</v>
      </c>
    </row>
    <row r="29" spans="1:4" x14ac:dyDescent="0.25">
      <c r="B29" s="11">
        <f>SUM(B21:B28)</f>
        <v>12194</v>
      </c>
      <c r="C29" s="10">
        <f>SUM(C21:C28)</f>
        <v>1.0000000000000002</v>
      </c>
      <c r="D29" s="11">
        <f>SUM(D21:D28)</f>
        <v>2457040</v>
      </c>
    </row>
    <row r="30" spans="1:4" x14ac:dyDescent="0.25">
      <c r="B3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2017_ktgv</vt:lpstr>
      <vt:lpstr>1.mell.Kiadások</vt:lpstr>
      <vt:lpstr>2.mell.Bevételek</vt:lpstr>
      <vt:lpstr>3.mell.arányok</vt:lpstr>
      <vt:lpstr>'1.mell.Kiadások'!Nyomtatási_terület</vt:lpstr>
      <vt:lpstr>'2.mell.Bevételek'!Nyomtatási_terület</vt:lpstr>
      <vt:lpstr>'2017_ktgv'!Nyomtatási_terület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Pénzügy1</cp:lastModifiedBy>
  <cp:lastPrinted>2017-02-11T13:00:38Z</cp:lastPrinted>
  <dcterms:created xsi:type="dcterms:W3CDTF">2014-11-10T08:15:58Z</dcterms:created>
  <dcterms:modified xsi:type="dcterms:W3CDTF">2017-02-13T09:10:33Z</dcterms:modified>
</cp:coreProperties>
</file>