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310" tabRatio="968" firstSheet="18" activeTab="24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2.sz.mell" sheetId="15" r:id="rId15"/>
    <sheet name="Z_6.3.sz.mell" sheetId="16" r:id="rId16"/>
    <sheet name="Z_7.sz.mell" sheetId="17" r:id="rId17"/>
    <sheet name="Z_8.sz.mell" sheetId="18" r:id="rId18"/>
    <sheet name="Z_1.tájékoztató_t." sheetId="19" r:id="rId19"/>
    <sheet name="Z_2.tájékoztató_t." sheetId="20" r:id="rId20"/>
    <sheet name="Z_3.tájékoztató_t." sheetId="21" r:id="rId21"/>
    <sheet name="Z_4.tájékoztató_t." sheetId="22" r:id="rId22"/>
    <sheet name="Z_5.tájékoztató_t." sheetId="23" r:id="rId23"/>
    <sheet name="Z_6.tájékoztató_t." sheetId="24" r:id="rId24"/>
    <sheet name="Z_7.1.tájékoztató_t." sheetId="25" r:id="rId25"/>
    <sheet name="Z_7.2.tájékoztató_t." sheetId="26" r:id="rId26"/>
    <sheet name="Z_7.3.tájékoztató_t." sheetId="27" r:id="rId27"/>
    <sheet name="Z_8.tájékoztató_t." sheetId="28" r:id="rId28"/>
    <sheet name="Z_9.tájékoztató_t." sheetId="29" r:id="rId29"/>
    <sheet name="Z_10.tájékoztató_t." sheetId="30" r:id="rId30"/>
    <sheet name="Z_11.tájékoztató_t." sheetId="31" r:id="rId31"/>
    <sheet name="Z_12.tájékoztató_t." sheetId="32" r:id="rId32"/>
  </sheets>
  <definedNames>
    <definedName name="_ftn1" localSheetId="26">'Z_7.3.tájékoztató_t.'!$A$31</definedName>
    <definedName name="_ftnref1" localSheetId="26">'Z_7.3.tájékoztató_t.'!$A$22</definedName>
    <definedName name="_xlfn.IFERROR" hidden="1">#NAME?</definedName>
    <definedName name="_xlnm.Print_Titles" localSheetId="31">'Z_12.tájékoztató_t.'!$1:$3</definedName>
    <definedName name="_xlnm.Print_Titles" localSheetId="13">'Z_6.1.sz.mell'!$1:$6</definedName>
    <definedName name="_xlnm.Print_Titles" localSheetId="14">'Z_6.2.sz.mell'!$1:$6</definedName>
    <definedName name="_xlnm.Print_Titles" localSheetId="15">'Z_6.3.sz.mell'!$1:$6</definedName>
    <definedName name="_xlnm.Print_Titles" localSheetId="23">'Z_6.tájékoztató_t.'!$1:$6</definedName>
    <definedName name="_xlnm.Print_Titles" localSheetId="24">'Z_7.1.tájékoztató_t.'!$1:$3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18">'Z_1.tájékoztató_t.'!$A$1:$G$154</definedName>
    <definedName name="_xlnm.Print_Area" localSheetId="31">'Z_12.tájékoztató_t.'!$A$1:$E$77</definedName>
  </definedNames>
  <calcPr fullCalcOnLoad="1"/>
</workbook>
</file>

<file path=xl/sharedStrings.xml><?xml version="1.0" encoding="utf-8"?>
<sst xmlns="http://schemas.openxmlformats.org/spreadsheetml/2006/main" count="3999" uniqueCount="1426">
  <si>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</si>
  <si>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</si>
  <si>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</si>
  <si>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</si>
  <si>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</si>
  <si>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</si>
  <si>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</si>
  <si>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</si>
  <si>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</si>
  <si>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</si>
  <si>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</si>
  <si>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</si>
  <si>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</si>
  <si>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</si>
  <si>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</si>
  <si>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</si>
  <si>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</si>
  <si>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</si>
  <si>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</si>
  <si>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</si>
  <si>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</si>
  <si>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</si>
  <si>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</si>
  <si>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</si>
  <si>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</si>
  <si>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</si>
  <si>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</si>
  <si>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</si>
  <si>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</si>
  <si>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</si>
  <si>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</si>
  <si>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</si>
  <si>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</si>
  <si>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</si>
  <si>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</si>
  <si>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</si>
  <si>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</si>
  <si>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</si>
  <si>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</si>
  <si>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</si>
  <si>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</si>
  <si>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</si>
  <si>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</si>
  <si>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</si>
  <si>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</si>
  <si>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</si>
  <si>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</si>
  <si>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</si>
  <si>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</si>
  <si>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</si>
  <si>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</si>
  <si>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</si>
  <si>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</si>
  <si>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</si>
  <si>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</si>
  <si>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</si>
  <si>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</si>
  <si>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</si>
  <si>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</si>
  <si>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</si>
  <si>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</si>
  <si>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</si>
  <si>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</si>
  <si>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</si>
  <si>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</si>
  <si>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</si>
  <si>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</si>
  <si>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</si>
  <si>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</si>
  <si>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</si>
  <si>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</si>
  <si>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</si>
  <si>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</si>
  <si>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</si>
  <si>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</si>
  <si>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</si>
  <si>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</si>
  <si>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</si>
  <si>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</si>
  <si>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</si>
  <si>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</si>
  <si>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</si>
  <si>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</si>
  <si>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</si>
  <si>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</si>
  <si>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</si>
  <si>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</si>
  <si>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</si>
  <si>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</si>
  <si>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</si>
  <si>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</si>
  <si>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</si>
  <si>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</si>
  <si>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</si>
  <si>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</si>
  <si>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</si>
  <si>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</si>
  <si>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</si>
  <si>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</si>
  <si>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</si>
  <si>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</si>
  <si>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</si>
  <si>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</si>
  <si>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</si>
  <si>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</si>
  <si>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</si>
  <si>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</si>
  <si>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</si>
  <si>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</si>
  <si>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</si>
  <si>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</si>
  <si>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</si>
  <si>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</si>
  <si>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</si>
  <si>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</si>
  <si>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</si>
  <si>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</si>
  <si>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</si>
  <si>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</si>
  <si>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</si>
  <si>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</si>
  <si>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</si>
  <si>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</si>
  <si>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</si>
  <si>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</si>
  <si>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</si>
  <si>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</si>
  <si>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</si>
  <si>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</si>
  <si>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</si>
  <si>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</si>
  <si>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</si>
  <si>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</si>
  <si>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</si>
  <si>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</si>
  <si>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</si>
  <si>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</si>
  <si>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</si>
  <si>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</si>
  <si>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</si>
  <si>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</si>
  <si>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</si>
  <si>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</si>
  <si>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</si>
  <si>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</si>
  <si>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</si>
  <si>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</si>
  <si>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</si>
  <si>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</si>
  <si>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</si>
  <si>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</si>
  <si>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</si>
  <si>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</si>
  <si>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</si>
  <si>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</si>
  <si>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</si>
  <si>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</si>
  <si>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</si>
  <si>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</si>
  <si>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</si>
  <si>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</si>
  <si>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</si>
  <si>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</si>
  <si>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</si>
  <si>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</si>
  <si>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</si>
  <si>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</si>
  <si>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</si>
  <si>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</si>
  <si>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</si>
  <si>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</si>
  <si>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</si>
  <si>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</si>
  <si>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</si>
  <si>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</si>
  <si>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</si>
  <si>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</si>
  <si>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</si>
  <si>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</si>
  <si>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</si>
  <si>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</si>
  <si>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</si>
  <si>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</si>
  <si>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</si>
  <si>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</si>
  <si>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</si>
  <si>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</si>
  <si>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</si>
  <si>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</si>
  <si>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</si>
  <si>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</si>
  <si>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</si>
  <si>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</si>
  <si>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</si>
  <si>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</si>
  <si>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</si>
  <si>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</si>
  <si>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</si>
  <si>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</si>
  <si>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</si>
  <si>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</si>
  <si>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</si>
  <si>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</si>
  <si>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</si>
  <si>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</si>
  <si>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</si>
  <si>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</si>
  <si>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</si>
  <si>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</si>
  <si>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</si>
  <si>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</si>
  <si>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</si>
  <si>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</si>
  <si>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</si>
  <si>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</si>
  <si>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</si>
  <si>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</si>
  <si>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</si>
  <si>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</si>
  <si>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</si>
  <si>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</si>
  <si>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</si>
  <si>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</si>
  <si>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</si>
  <si>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</si>
  <si>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</si>
  <si>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</si>
  <si>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</si>
  <si>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</si>
  <si>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</si>
  <si>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</si>
  <si>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</si>
  <si>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</si>
  <si>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</si>
  <si>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</si>
  <si>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</si>
  <si>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</si>
  <si>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</si>
  <si>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</si>
  <si>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</si>
  <si>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</si>
  <si>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</si>
  <si>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</si>
  <si>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</si>
  <si>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</si>
  <si>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</si>
  <si>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</si>
  <si>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</si>
  <si>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</si>
  <si>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</si>
  <si>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</si>
  <si>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</si>
  <si>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</si>
  <si>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</si>
  <si>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</si>
  <si>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</si>
  <si>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</si>
  <si>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</si>
  <si>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</si>
  <si>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</si>
  <si>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</si>
  <si>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</si>
  <si>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</si>
  <si>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</si>
  <si>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</si>
  <si>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</si>
  <si>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</si>
  <si>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</si>
  <si>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</si>
  <si>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</si>
  <si>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</si>
  <si>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</si>
  <si>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</si>
  <si>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</si>
  <si>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</si>
  <si>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</si>
  <si>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</si>
  <si>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</si>
  <si>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</si>
  <si>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</si>
  <si>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</si>
  <si>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</si>
  <si>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</si>
  <si>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</si>
  <si>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</si>
  <si>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</si>
  <si>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</si>
  <si>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</si>
  <si>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</si>
  <si>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</si>
  <si>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</si>
  <si>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</si>
  <si>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</si>
  <si>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</si>
  <si>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</si>
  <si>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</si>
  <si>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</si>
  <si>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</si>
  <si>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</si>
  <si>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</si>
  <si>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</si>
  <si>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</si>
  <si>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</si>
  <si>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</si>
  <si>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</si>
  <si>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</si>
  <si>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</si>
  <si>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</si>
  <si>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</si>
  <si>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</si>
  <si>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</si>
  <si>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</si>
  <si>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</si>
  <si>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</si>
  <si>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</si>
  <si>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</si>
  <si>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</si>
  <si>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</si>
  <si>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</si>
  <si>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</si>
  <si>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</si>
  <si>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</si>
  <si>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</si>
  <si>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</si>
  <si>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</si>
  <si>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</si>
  <si>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</si>
  <si>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</si>
  <si>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</si>
  <si>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</si>
  <si>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</si>
  <si>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</si>
  <si>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</si>
  <si>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</si>
  <si>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</si>
  <si>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</si>
  <si>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</si>
  <si>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</si>
  <si>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</si>
  <si>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</si>
  <si>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</si>
  <si>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</si>
  <si>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</si>
  <si>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</si>
  <si>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</si>
  <si>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</si>
  <si>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</si>
  <si>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</si>
  <si>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</si>
  <si>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</si>
  <si>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</si>
  <si>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</si>
  <si>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</si>
  <si>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</si>
  <si>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</si>
  <si>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</si>
  <si>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</si>
  <si>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</si>
  <si>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</si>
  <si>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</si>
  <si>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</si>
  <si>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</si>
  <si>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</si>
  <si>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</si>
  <si>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</si>
  <si>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</si>
  <si>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</si>
  <si>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</si>
  <si>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</si>
  <si>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</si>
  <si>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</si>
  <si>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</si>
  <si>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</si>
  <si>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</si>
  <si>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</si>
  <si>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</si>
  <si>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</si>
  <si>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</si>
  <si>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</si>
  <si>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</si>
  <si>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</si>
  <si>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</si>
  <si>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</si>
  <si>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</si>
  <si>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</si>
  <si>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</si>
  <si>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</si>
  <si>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</si>
  <si>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</si>
  <si>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</si>
  <si>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</si>
  <si>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</si>
  <si>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</si>
  <si>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</si>
  <si>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</si>
  <si>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</si>
  <si>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</si>
  <si>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</si>
  <si>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</si>
  <si>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</si>
  <si>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</si>
  <si>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</si>
  <si>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</si>
  <si>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</si>
  <si>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</si>
  <si>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</si>
  <si>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</si>
  <si>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</si>
  <si>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</si>
  <si>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</si>
  <si>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</si>
  <si>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</si>
  <si>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</si>
  <si>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</si>
  <si>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</si>
  <si>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</si>
  <si>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</si>
  <si>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</si>
  <si>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</si>
  <si>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</si>
  <si>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</si>
  <si>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</si>
  <si>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</si>
  <si>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</si>
  <si>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</si>
  <si>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</si>
  <si>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</si>
  <si>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</si>
  <si>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</si>
  <si>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</si>
  <si>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</si>
  <si>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</si>
  <si>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</si>
  <si>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</si>
  <si>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</si>
  <si>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</si>
  <si>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</si>
  <si>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</si>
  <si>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</si>
  <si>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</si>
  <si>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</si>
  <si>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</si>
  <si>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</si>
  <si>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</si>
  <si>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</si>
  <si>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</si>
  <si>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</si>
  <si>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</si>
  <si>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</si>
  <si>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</si>
  <si>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</si>
  <si>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</si>
  <si>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</si>
  <si>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</si>
  <si>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</si>
  <si>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</si>
  <si>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</si>
  <si>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</si>
  <si>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</si>
  <si>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</si>
  <si>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</si>
  <si>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</si>
  <si>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</si>
  <si>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</si>
  <si>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</si>
  <si>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</si>
  <si>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</si>
  <si>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</si>
  <si>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</si>
  <si>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</si>
  <si>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</si>
  <si>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</si>
  <si>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</si>
  <si>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</si>
  <si>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</si>
  <si>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</si>
  <si>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</si>
  <si>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</si>
  <si>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</si>
  <si>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</si>
  <si>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</si>
  <si>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</si>
  <si>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</si>
  <si>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</si>
  <si>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</si>
  <si>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</si>
  <si>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</si>
  <si>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</si>
  <si>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</si>
  <si>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</si>
  <si>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</si>
  <si>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</si>
  <si>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</si>
  <si>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</si>
  <si>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</si>
  <si>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</si>
  <si>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</si>
  <si>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</si>
  <si>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</si>
  <si>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</si>
  <si>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</si>
  <si>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</si>
  <si>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</si>
  <si>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</si>
  <si>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</si>
  <si>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</si>
  <si>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</si>
  <si>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</si>
  <si>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</si>
  <si>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</si>
  <si>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</si>
  <si>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</si>
  <si>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</si>
  <si>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</si>
  <si>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</si>
  <si>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</si>
  <si>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</si>
  <si>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</si>
  <si>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</si>
  <si>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</si>
  <si>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</si>
  <si>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</si>
  <si>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</si>
  <si>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</si>
  <si>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</si>
  <si>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</si>
  <si>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</si>
  <si>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</si>
  <si>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</si>
  <si>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</si>
  <si>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</si>
  <si>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</si>
  <si>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</si>
  <si>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</si>
  <si>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</si>
  <si>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</si>
  <si>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</si>
  <si>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</si>
  <si>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</si>
  <si>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</si>
  <si>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</si>
  <si>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</si>
  <si>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</si>
  <si>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</si>
  <si>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</si>
  <si>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</si>
  <si>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</si>
  <si>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</si>
  <si>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</si>
  <si>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</si>
  <si>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</si>
  <si>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</si>
  <si>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</si>
  <si>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</si>
  <si>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</si>
  <si>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</si>
  <si>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</si>
  <si>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</si>
  <si>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</si>
  <si>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</si>
  <si>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</si>
  <si>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</si>
  <si>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</si>
  <si>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</si>
  <si>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</si>
  <si>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</si>
  <si>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</si>
  <si>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</si>
  <si>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</si>
  <si>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</si>
  <si>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</si>
  <si>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</si>
  <si>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</si>
  <si>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</si>
  <si>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</si>
  <si>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</si>
  <si>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</si>
  <si>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</si>
  <si>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</si>
  <si>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</si>
  <si>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</si>
  <si>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</si>
  <si>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</si>
  <si>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</si>
  <si>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</si>
  <si>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</si>
  <si>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</si>
  <si>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Tervezett 
(E Ft)</t>
  </si>
  <si>
    <t>Tényleges 
(E Ft)</t>
  </si>
  <si>
    <t>29.</t>
  </si>
  <si>
    <t>30.</t>
  </si>
  <si>
    <t>31.</t>
  </si>
  <si>
    <t>32.</t>
  </si>
  <si>
    <t>33.</t>
  </si>
  <si>
    <t>Sorszám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</si>
  <si>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</si>
  <si>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</si>
  <si>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</si>
  <si>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</si>
  <si>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</si>
  <si>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</si>
  <si>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</si>
  <si>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</si>
  <si>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</si>
  <si>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</si>
  <si>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</si>
  <si>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</si>
  <si>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</si>
  <si>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</si>
  <si>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</si>
  <si>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</si>
  <si>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</si>
  <si>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</si>
  <si>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</si>
  <si>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</si>
  <si>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</si>
  <si>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</si>
  <si>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</si>
  <si>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</si>
  <si>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</si>
  <si>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</si>
  <si>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</si>
  <si>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</si>
  <si>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</si>
  <si>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</si>
  <si>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</si>
  <si>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</si>
  <si>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</si>
  <si>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</si>
  <si>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</si>
  <si>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</si>
  <si>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</si>
  <si>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</si>
  <si>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</si>
  <si>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</si>
  <si>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</si>
  <si>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</si>
  <si>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</si>
  <si>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</si>
  <si>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</si>
  <si>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</si>
  <si>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</si>
  <si>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</si>
  <si>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</si>
  <si>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</si>
  <si>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</si>
  <si>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</si>
  <si>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</si>
  <si>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</si>
  <si>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</si>
  <si>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</si>
  <si>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</si>
  <si>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</si>
  <si>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</si>
  <si>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</si>
  <si>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</si>
  <si>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</si>
  <si>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</si>
  <si>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</si>
  <si>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</si>
  <si>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</si>
  <si>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</si>
  <si>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</si>
  <si>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</si>
  <si>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</si>
  <si>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</si>
  <si>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</si>
  <si>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</si>
  <si>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7.1. tájékoztató tábla</t>
  </si>
  <si>
    <t>VAGYONKIMUTATÁS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</si>
  <si>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</si>
  <si>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</si>
  <si>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</si>
  <si>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</si>
  <si>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</si>
  <si>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</si>
  <si>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</si>
  <si>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</si>
  <si>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</si>
  <si>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</si>
  <si>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</si>
  <si>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</si>
  <si>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</si>
  <si>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</si>
  <si>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</si>
  <si>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</si>
  <si>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</si>
  <si>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</si>
  <si>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</si>
  <si>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</si>
  <si>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</si>
  <si>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</si>
  <si>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</si>
  <si>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</si>
  <si>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</si>
  <si>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</si>
  <si>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</si>
  <si>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</si>
  <si>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</si>
  <si>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</si>
  <si>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</si>
  <si>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</si>
  <si>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</si>
  <si>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</si>
  <si>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</si>
  <si>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</si>
  <si>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</si>
  <si>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</si>
  <si>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</si>
  <si>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</si>
  <si>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</si>
  <si>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</si>
  <si>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</si>
  <si>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</si>
  <si>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</si>
  <si>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</si>
  <si>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</si>
  <si>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</si>
  <si>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</si>
  <si>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</si>
  <si>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</si>
  <si>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</si>
  <si>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</si>
  <si>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</si>
  <si>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</si>
  <si>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</si>
  <si>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</si>
  <si>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</si>
  <si>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</si>
  <si>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</si>
  <si>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</si>
  <si>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</si>
  <si>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</si>
  <si>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</si>
  <si>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</si>
  <si>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</si>
  <si>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</si>
  <si>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</si>
  <si>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</si>
  <si>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</si>
  <si>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</si>
  <si>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</si>
  <si>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Mellékletben külön?</t>
  </si>
  <si>
    <t>.</t>
  </si>
  <si>
    <t xml:space="preserve">bevételei, kiadásai, hozzájárulások  </t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</si>
  <si>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</si>
  <si>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</si>
  <si>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</si>
  <si>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</si>
  <si>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I=C+F</t>
  </si>
  <si>
    <t>B=C+E+H</t>
  </si>
  <si>
    <t>Módosítás utáni összes forrás, kiadás</t>
  </si>
  <si>
    <t>Összes
 tartozás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</si>
  <si>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</si>
  <si>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</si>
  <si>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</si>
  <si>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</si>
  <si>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</si>
  <si>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Bátaszék Város Önkormányzata</t>
  </si>
  <si>
    <t>Bátaszéki Közös Önkormányzati Hivatal</t>
  </si>
  <si>
    <t>Keresztély Gyula Városi Könyvtár</t>
  </si>
  <si>
    <t>Magánszemélyek kommunális adója</t>
  </si>
  <si>
    <t>Egyéb közhatalmi bevételek</t>
  </si>
  <si>
    <t>Budai u. növényesítés VII. ütem (Bezerédj u. Kövesdi u. közötti szakasz)</t>
  </si>
  <si>
    <t>Babits játszótér gumi ütéscsillapítók (II. ütem), labdafogó háló</t>
  </si>
  <si>
    <t>Temető belső út (III. ütem)</t>
  </si>
  <si>
    <t>Városháza (irattár-szerver szoba, informatikai fejlesztés)</t>
  </si>
  <si>
    <t>Urnafal építése</t>
  </si>
  <si>
    <t>Zsidó temető beruházása 308/2018</t>
  </si>
  <si>
    <t>Számvevőségi épület megvásárlása 369/2018</t>
  </si>
  <si>
    <t>Településrendezési eszközök</t>
  </si>
  <si>
    <t>TOP-1.1.1. Ipari parkok fejlesztése</t>
  </si>
  <si>
    <t>TOP-1.1.3. Agrárlog. Központ kialakítása</t>
  </si>
  <si>
    <t>TOP-3.2.1. Gimi energetikai korszerűsítése</t>
  </si>
  <si>
    <t>KEHOP - 2.2.1-15-2015-00021 Szennyvízelvezetés és fejl.</t>
  </si>
  <si>
    <t>Egyéb gép, berendezés</t>
  </si>
  <si>
    <t>Garyi u. vízvezeték csere ERÖV</t>
  </si>
  <si>
    <t>33/2019 szennyvíztelep fejlesztés/0432 hrsz. Gauzer Z. ingatlanrész megvásárlás</t>
  </si>
  <si>
    <t>Német Önk. tanösvény járda kialakítás</t>
  </si>
  <si>
    <t>KÖH egyéb gépek berendezések</t>
  </si>
  <si>
    <t>Keresztély Gyula Városi Könyvtár EFOP 3.3.2. eszközbeszerzések</t>
  </si>
  <si>
    <t>Keresztély Gyula Városi Könyvtár eszközbeszerzések</t>
  </si>
  <si>
    <t>Tárgyi eszközök beszerzése (érdekeltségnövel támogatás)</t>
  </si>
  <si>
    <t>174/2019 Garay u. ivóvízvezeték építés CT felold.</t>
  </si>
  <si>
    <t>174/2019  Tüzivíz vezeték megépítése sportpálya CT felold</t>
  </si>
  <si>
    <t>ERÖV-Használati díj terhére végzett beruházás</t>
  </si>
  <si>
    <t>Vis maior pályázat-Molyhos tölgy út</t>
  </si>
  <si>
    <t>Tornacsarnok, Budai 61., Kossuth 54 épületek napelemes projektje</t>
  </si>
  <si>
    <t>Besigheim játszótér kerítés,labdafogóháló</t>
  </si>
  <si>
    <t>2019</t>
  </si>
  <si>
    <t>2018-2019</t>
  </si>
  <si>
    <t>2018-2020</t>
  </si>
  <si>
    <t>2017-2019</t>
  </si>
  <si>
    <t>Járda kialakítása Budai udvar parkoló és a járda között</t>
  </si>
  <si>
    <t>Kossuth utcai orvosi rendelő előtti járda</t>
  </si>
  <si>
    <t xml:space="preserve">Számvevőség épület (kiállító tér bővítés, homlokzat felújítás, 
tető és ereszcsatorna javítás)
</t>
  </si>
  <si>
    <t xml:space="preserve"> Orvosi rendelők felújítása (Fenőt h.r. belső udvar és átjáró homlokzat, légkondik) </t>
  </si>
  <si>
    <t xml:space="preserve">Oktatási épületek felújítása </t>
  </si>
  <si>
    <t>Műv. ház épület építészeti és fűtés felújítás</t>
  </si>
  <si>
    <t xml:space="preserve">Tornacsarnok menekülő útvonali lépcsők </t>
  </si>
  <si>
    <t>Városi Könyvtár felújítási munkák 187/2018</t>
  </si>
  <si>
    <t>Hunyadi utca 2/A lépcsőház felúj.</t>
  </si>
  <si>
    <t>Budai u. 56-58 folyosó padló felúj.</t>
  </si>
  <si>
    <t>Gárdonyi u. 1 statikai vizsg.</t>
  </si>
  <si>
    <t>Ady Endre u. 27. konvektor csere</t>
  </si>
  <si>
    <t>Garay utca II. ütem 335/2018</t>
  </si>
  <si>
    <t>Baross utca felújítás II.ütem</t>
  </si>
  <si>
    <t>37/2019 Műv.Ház fűtéskorsz. tervdokumentáció elkész/ "Tervezésre, pályzatok készítésére" CT terhére</t>
  </si>
  <si>
    <t>127/2019 Emlékmű felújítás</t>
  </si>
  <si>
    <t>128/2019 Emlékmű körüli kerítés felújítás</t>
  </si>
  <si>
    <t>129/2019 Műv.Ház fűtéskorszerűsítés</t>
  </si>
  <si>
    <t>130/2019 Műv.Ház fűtéskorszerűsítés műszaki ellenőr</t>
  </si>
  <si>
    <t>132/2019 Önkormányzati bérlakás gázkazán csere</t>
  </si>
  <si>
    <t>162/2019 Számvevőség épület (kiállító tér bővítés, homlokzat felújítás, 
tető és ereszcsatorna javítás)</t>
  </si>
  <si>
    <t>182/2019 Társasházak felújítása</t>
  </si>
  <si>
    <t>204/2019 Önkormányzati lakások felújítása</t>
  </si>
  <si>
    <t>Lajvér buszmegálló</t>
  </si>
  <si>
    <t>Kövesd buszmegálló</t>
  </si>
  <si>
    <t>Sportcsrnok terv</t>
  </si>
  <si>
    <t>Külterületi utak kátyúzása (II.ütem)</t>
  </si>
  <si>
    <t>Belterületi utak kátyúzása</t>
  </si>
  <si>
    <t>Rácz-töltés árvízi szivattyú javítása</t>
  </si>
  <si>
    <t>11/C - Az önkormányzatok általános, köznevelési és szociális feladataihoz kapcsolódó támogatások elszámolása</t>
  </si>
  <si>
    <t>#</t>
  </si>
  <si>
    <t>Költségvetési törvény szerint igényelt támogatás</t>
  </si>
  <si>
    <t>Támogatás évközi változása - Május 15.</t>
  </si>
  <si>
    <t>Támogatás évközi változása - Október 7.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</si>
  <si>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</si>
  <si>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</si>
  <si>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</si>
  <si>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</si>
  <si>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</si>
  <si>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</si>
  <si>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11/A 92. sor szerinti 37. A minimálbér és a garantált bérminimum emelés hatásának kompenzációja címen nyújtott támogatás</t>
  </si>
  <si>
    <t>12. oszlop szerinti támogatásból az adott célra december 31-ig ténylegesen felhasznált összeg</t>
  </si>
  <si>
    <t>11/A 84. sor szerinti 29. A nappali melegedők hosszított nyitvatartásának támogatása címen nyújtott támogatás</t>
  </si>
  <si>
    <t>14. oszlop szerinti támogatásból az adott célra december 31-ig ténylegesen felhasznált összeg</t>
  </si>
  <si>
    <t>11/A 90. sor szerinti 35. A falu- és tanyagondnoki szolgálatok kiegészítő támogatása címen nyújtott támogatás</t>
  </si>
  <si>
    <t>16. oszlop szerinti támogatásból az adott célra december 31-ig ténylegesen felhasznált összeg</t>
  </si>
  <si>
    <t>I.1. A települési  önkormányzatok működésének támogatása 09 01 01 01 00</t>
  </si>
  <si>
    <t>I.2. Nem közművel összegyűjtött háztartási szennyvíz ártalmatlanítása 09 01 01 02 00</t>
  </si>
  <si>
    <t>I.3. Határátkelőhelyek fenntartásának támogatása 09 01 01 03 00</t>
  </si>
  <si>
    <t>05</t>
  </si>
  <si>
    <t>II. A települési önkormányzatok egyes köznevelési feladatainak támogatása 09 01 02 00 00</t>
  </si>
  <si>
    <t>06</t>
  </si>
  <si>
    <t>III.3. Egyes szociális és gyermekjóléti feladatok támogatása - család és gyermekjóléti szolgálat/központ 09 01 03 03 01</t>
  </si>
  <si>
    <t>07</t>
  </si>
  <si>
    <t>III.3. Egyes szociális és gyermekjóléti feladatok támogatása - család és gyermekjóléti szolgálat/központ kivételével 09 01 03 03 02</t>
  </si>
  <si>
    <t>09</t>
  </si>
  <si>
    <t>III.5.a Intézményi gyermekétkeztetés támogatása 09 01 03 05 01</t>
  </si>
  <si>
    <t>10</t>
  </si>
  <si>
    <t>III.5.b Rászoruló gyermekek szünidei étkeztetése 09 01 03 05 02</t>
  </si>
  <si>
    <t>11</t>
  </si>
  <si>
    <t>III.6. Bölcsőde, mini bölcsőde támogatása 09 01 03 06 00</t>
  </si>
  <si>
    <t>12</t>
  </si>
  <si>
    <t>Összesen  (=1+…+11)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</si>
  <si>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</si>
  <si>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</si>
  <si>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</si>
  <si>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</si>
  <si>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I.5. A költségvetési szerveknél foglalkoztatottak 2018. évi áthúzódó és 2019. évi kompenzációja</t>
  </si>
  <si>
    <t>2. melléklet I.6. Polgármesteri illetmény támogatása</t>
  </si>
  <si>
    <t>2. melléklet III.1. Szociális ágazati  összevont pótlék és egészségügyi kiegészítő pótlék</t>
  </si>
  <si>
    <t>04</t>
  </si>
  <si>
    <t>2. melléklet III.2. A települési önkormányzatok szociális feladatainak egyéb támogatása</t>
  </si>
  <si>
    <t>08</t>
  </si>
  <si>
    <t>2. melléklet IV.1.d) Települési önkormányzatok nyilvános könyvtári és közművelődési feladatainak támogatása</t>
  </si>
  <si>
    <t>13</t>
  </si>
  <si>
    <t>2. melléklet IV.1.i) A települési önkormányzatok könyvtári célú érdekeltségnövelő támogatása</t>
  </si>
  <si>
    <t>14</t>
  </si>
  <si>
    <t>2. melléklet IV.1. Könyvtári, közművelődési és múzeumi feladatok támogatása (5+…+13)</t>
  </si>
  <si>
    <t>19</t>
  </si>
  <si>
    <t>2. melléklet IV.3. Kulturális illetménypótlék</t>
  </si>
  <si>
    <t>29</t>
  </si>
  <si>
    <t>3. melléklet I.10.a) Önkormányzatok rendkívüli támogatása</t>
  </si>
  <si>
    <t>34</t>
  </si>
  <si>
    <t>3. melléklet I.12. Kiegyenlítő bérrendezési alap</t>
  </si>
  <si>
    <t>35</t>
  </si>
  <si>
    <t>3. melléklet I. Helyi önkormányzatok működési célú költségvetési támogatásai összesen (20+….+ 34)</t>
  </si>
  <si>
    <t>92</t>
  </si>
  <si>
    <t>37. cím A minimálbér és a garantált bérminimum emelés hatásának kompenzációja</t>
  </si>
  <si>
    <t>106</t>
  </si>
  <si>
    <t>Mindösszesen (=1+2+3+4+14+18+19+35+60+…+105)</t>
  </si>
  <si>
    <t xml:space="preserve">                            8.sz.melléklet/ B - A helyi önkormányzatok kiegészítő támogatásainak és egyéb kötött felhasználású támogatásainak elszámolása</t>
  </si>
  <si>
    <t>8.sz. melléklet  / A                                    - Az önkormányzatok általános, köznevelési és szociális feladataihoz kapcsolódó támogatások elszámolása</t>
  </si>
  <si>
    <t>Egyéb áruhasználati és szolgáltatási adók</t>
  </si>
  <si>
    <t>Támogatásértékű működési kiadás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</si>
  <si>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</si>
  <si>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</si>
  <si>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</si>
  <si>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</si>
  <si>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</si>
  <si>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</si>
  <si>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Gyermekjóléti és családsegitére igényelt állami támogatás átadása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</si>
  <si>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</si>
  <si>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</si>
  <si>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</si>
  <si>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</si>
  <si>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ESZGY JHSNY támogatása</t>
  </si>
  <si>
    <t>MOB bérekre átadott állami támogatás Bátaszék</t>
  </si>
  <si>
    <t>MOB müködtetésre átadott állami támogatás Bátaszék</t>
  </si>
  <si>
    <t>MOB óvopedagógosok kiegészító átadott állami támogatás Bátaszék</t>
  </si>
  <si>
    <t>MOB nemzetiségi pótlék állami támogatás Bátaszék</t>
  </si>
  <si>
    <t>MOB bölcsödére átadott állami támogatás Bátaszék</t>
  </si>
  <si>
    <t>MOB gyermekétkeztetés állami támogatása Bátaszék</t>
  </si>
  <si>
    <t>MOB rászoruló gyermekek szünidei gyermekétkeztetés állami támogatása Bátaszék</t>
  </si>
  <si>
    <t>MOB Működési hozzájárulás Bátaszék</t>
  </si>
  <si>
    <t>MOB Működési hozzájárulás Bátaszék tartalék</t>
  </si>
  <si>
    <t>MOB munkaszervezet működtetésére Bátaszék</t>
  </si>
  <si>
    <t>MOB  működtetésére Bátaszék tartalék</t>
  </si>
  <si>
    <t>Normatíva 2019. évi májusi lemondás-óvoda pedagógusok</t>
  </si>
  <si>
    <t>Normatíva 2019. évi májusi lemondás-kiegészítő tám.óvodapedagógusok</t>
  </si>
  <si>
    <t>Normatíva 2019. évi májusi lemondás-bölcsőde</t>
  </si>
  <si>
    <t>Normatíva 2019. évi májusi lemondás-intézményi gyermekétkeztetés</t>
  </si>
  <si>
    <t>Normatíva 2019. évi májusi lemondás-szünidei gyermekétkeztetés</t>
  </si>
  <si>
    <t>Szociális ágazati összevont pótlék 2019. 01.-05 hó ESZGY</t>
  </si>
  <si>
    <t xml:space="preserve">Szociális ágazati összevont pótlék 2019. 01.-05.hó MOB </t>
  </si>
  <si>
    <t xml:space="preserve"> 2018.évről áthúzódó bérkompenzáció támogatása ESZGY</t>
  </si>
  <si>
    <t xml:space="preserve"> 2018.évről áthúzódó bérkompenzáció támogatása MOB</t>
  </si>
  <si>
    <t>Önkormányzati bérkompenzáció 01.hó-04.hó ESZGY</t>
  </si>
  <si>
    <t>Önkormányzati bérkompenzáció 01.hó-04.hó MOB</t>
  </si>
  <si>
    <t>Német Nemzetiségi Önkormányzat támogatása</t>
  </si>
  <si>
    <t>Roma Nemzetiségi Önkormányzat támogatása</t>
  </si>
  <si>
    <t>Bursa Hungarica ösztöndíjak</t>
  </si>
  <si>
    <t>KÖH tartalékok</t>
  </si>
  <si>
    <t>95/2019 1216/4 hrsz középsziget átépítése pénzeszköz átadás Alsónyék</t>
  </si>
  <si>
    <t>172/2019 Védőnői bérrendezéshez forrás biztosítása</t>
  </si>
  <si>
    <t>184/2019 ESZGY ebéd kiszállítás váll.díj mód.</t>
  </si>
  <si>
    <t>184/2019 ESZGY szociális étkeztetés feladatellátására</t>
  </si>
  <si>
    <t>Szociális ágazati összevont pótlék 2019. 06.-08. hó ESZGY</t>
  </si>
  <si>
    <t xml:space="preserve">Szociális ágazati összevont pótlék 2019. 06.-08. hó  MOB </t>
  </si>
  <si>
    <t>149/2019 Német Nemzetiségi Önkormányzat részére tám.-Tanösvény</t>
  </si>
  <si>
    <t>Önkormányzati bérkompenzáció 05.hó-07.hó ESZGY</t>
  </si>
  <si>
    <t>Önkormányzati bérkompenzáció 05.hó-07.hó MOB</t>
  </si>
  <si>
    <t>217/2019 Roma Nemzetiségi Önkormányzat r.támogatás biztosítása</t>
  </si>
  <si>
    <t>Szociális ágazati összevont pótlék 2019. 09.-11. hó ESZGY</t>
  </si>
  <si>
    <t xml:space="preserve">Szociális ágazati összevont pótlék 2019. 09.-11. hó  MOB </t>
  </si>
  <si>
    <t>Önkormányzati bérkompenzáció 08.hó-10.hó ESZGY</t>
  </si>
  <si>
    <t>Önkormányzati bérkompenzáció 08.hó-10.hó MOB</t>
  </si>
  <si>
    <t>KÖH Bátaszék Városnak 2018. elszámolási kül.</t>
  </si>
  <si>
    <t>Normatíva 2019. évi októberi pótigény-óvoda pedagógusok-MOB</t>
  </si>
  <si>
    <t>Normatíva 2019. évi októberi pótigény-óvodákba bejáró gyermekek utazt.tám-MOB</t>
  </si>
  <si>
    <t>Normatíva 2019. évi októberi lemondás-intézményi gyermekétkeztetés</t>
  </si>
  <si>
    <t>Normatíva 2019. évi októberi pótigény-szünidei gyermekétkeztetés</t>
  </si>
  <si>
    <t>Normatíva 2019. évi októberi pótigény-egyes szoc.és gyermekjóléti fel</t>
  </si>
  <si>
    <t>Szociális ágazati összevont pótlék 2019. 12. hó ESZGY</t>
  </si>
  <si>
    <t xml:space="preserve">Szociális ágazati összevont pótlék 2019. 12. hó   MOB </t>
  </si>
  <si>
    <t>63.</t>
  </si>
  <si>
    <t>Önkormányzati bérkompenzáció 11.hó ESZGY</t>
  </si>
  <si>
    <t>64.</t>
  </si>
  <si>
    <t>Önkormányzati bérkompenzáció 11.hó MOB</t>
  </si>
  <si>
    <t>65.</t>
  </si>
  <si>
    <t>66.</t>
  </si>
  <si>
    <t>67.</t>
  </si>
  <si>
    <t>Működési célú pénzeszközátadás államháztartáson kívülre</t>
  </si>
  <si>
    <t>68.</t>
  </si>
  <si>
    <t>Pogárőrség támogatása</t>
  </si>
  <si>
    <t>69.</t>
  </si>
  <si>
    <t>Nemzetőrség támogatása</t>
  </si>
  <si>
    <t>70.</t>
  </si>
  <si>
    <t>BSE támogatása</t>
  </si>
  <si>
    <t>71.</t>
  </si>
  <si>
    <t>Matematika Tehetséggondozó Alapítvány</t>
  </si>
  <si>
    <t>72.</t>
  </si>
  <si>
    <t>Vöröskereszt véradók támogatása</t>
  </si>
  <si>
    <t>73.</t>
  </si>
  <si>
    <t>Vállalkozók Ipartestülete támogatás</t>
  </si>
  <si>
    <t>74.</t>
  </si>
  <si>
    <t>Tűzoltó Köztestület támogatása</t>
  </si>
  <si>
    <t>75.</t>
  </si>
  <si>
    <t>Horgász Egyesület támogatása</t>
  </si>
  <si>
    <t>76.</t>
  </si>
  <si>
    <t>Egyházak pályázható támogatási keretösszege</t>
  </si>
  <si>
    <t>77.</t>
  </si>
  <si>
    <t>Hagyományőrző egyesületek pályázható támogatási keretösszege</t>
  </si>
  <si>
    <t>78.</t>
  </si>
  <si>
    <t>Alapítványok pályázható támogatási keretösszege</t>
  </si>
  <si>
    <t>79.</t>
  </si>
  <si>
    <t>Sportszervezetek pályázható támogatási keretösszege (sakk)</t>
  </si>
  <si>
    <t>80.</t>
  </si>
  <si>
    <t>Közművelődési szervezetek pályázható támogatási keretösszege</t>
  </si>
  <si>
    <t>81.</t>
  </si>
  <si>
    <t>Egyéb civil szervezetek pályázható támogatási keretösszege</t>
  </si>
  <si>
    <t>82.</t>
  </si>
  <si>
    <t>Országos Mentőszolgálat Alapítvány vissza nem térítendő tám.</t>
  </si>
  <si>
    <t>83.</t>
  </si>
  <si>
    <t xml:space="preserve">Marketing Kft. Közművelődési feladatok (közfeladatellátási szerződés) </t>
  </si>
  <si>
    <t>84.</t>
  </si>
  <si>
    <t xml:space="preserve">Marketing Kft. Múzeumi feladatok (közfeladatellátási szerződés) </t>
  </si>
  <si>
    <t>85.</t>
  </si>
  <si>
    <t xml:space="preserve">Marketing Kft. Turizmussal kapcs. feladatok (közfeladatellátási szerződés) </t>
  </si>
  <si>
    <t>86.</t>
  </si>
  <si>
    <t xml:space="preserve">Marketing Kft. Kiadói tevékenység feladatok (közfeladatellátási szerződés) </t>
  </si>
  <si>
    <t>87.</t>
  </si>
  <si>
    <t>Bát-Kom 2004. Kft. Tanuszoda üzemeltetés kiadása</t>
  </si>
  <si>
    <t>88.</t>
  </si>
  <si>
    <t>Bát-Kom 2004. Kft. Közfeladat-ellátási szerződés városüzemeltetés</t>
  </si>
  <si>
    <t>89.</t>
  </si>
  <si>
    <t>Bát-Kom 2004. Kft. Közfeladat- ellátási szerződés piac üzemeltetése</t>
  </si>
  <si>
    <t>90.</t>
  </si>
  <si>
    <t>Bát-Kom 2004. Kft. Közfeladat-ellátási szerződés sportpálya</t>
  </si>
  <si>
    <t>91.</t>
  </si>
  <si>
    <t>Bát-Kom 2004. Kft. Közfeladat-ellátási szerződés sportcsarnok</t>
  </si>
  <si>
    <t>92.</t>
  </si>
  <si>
    <t>Panteon Kft. Temető működésre átadott</t>
  </si>
  <si>
    <t>93.</t>
  </si>
  <si>
    <t>329/2018 Történelmi kiadvány megjelenítése</t>
  </si>
  <si>
    <t>94.</t>
  </si>
  <si>
    <t>24/2019 György Attila tűzeset okozta kár enyhítésére tám.</t>
  </si>
  <si>
    <t>95.</t>
  </si>
  <si>
    <t>68/2019 BSE TAO sportfejlesztési támogatás</t>
  </si>
  <si>
    <t>96.</t>
  </si>
  <si>
    <t>73/2018 Rákóczi Szövetség támogatása</t>
  </si>
  <si>
    <t>97.</t>
  </si>
  <si>
    <t>78/2019 Támogatás Blága Zsolt épület-karbantartási feladatok</t>
  </si>
  <si>
    <t>98.</t>
  </si>
  <si>
    <t>94/2019 Ipari park területés zöld-területkezelés és egyéb üzemlt.fel.ok</t>
  </si>
  <si>
    <t>99.</t>
  </si>
  <si>
    <t>120/2019 Bát-Kom Kft Sportcsarnok működésére</t>
  </si>
  <si>
    <t>100.</t>
  </si>
  <si>
    <t xml:space="preserve">  REKI Rendkívüli települési tám-Önkormányzati tűzoltóság támogatása</t>
  </si>
  <si>
    <t>101.</t>
  </si>
  <si>
    <t>177/2019 XIX.Tolna Megyei Polgárőr találkozó tám.</t>
  </si>
  <si>
    <t>102.</t>
  </si>
  <si>
    <t>198/2019 Rendkívüli támogatás Ács Istvánné r.</t>
  </si>
  <si>
    <t>103.</t>
  </si>
  <si>
    <t>Reklámfelület biztosítása Bornapok-Marketing Kft</t>
  </si>
  <si>
    <t>104.</t>
  </si>
  <si>
    <t>Magyar Önkormányzatok szövetsége tagdíj</t>
  </si>
  <si>
    <t>105.</t>
  </si>
  <si>
    <t>Támogatásértékű felhalmozási kiadás</t>
  </si>
  <si>
    <t>106.</t>
  </si>
  <si>
    <t>MOB Társulásnak  átadott</t>
  </si>
  <si>
    <t>107.</t>
  </si>
  <si>
    <t>ESZGY Társulásnak JHSNY feladat támogatása Bátaszék</t>
  </si>
  <si>
    <t>108.</t>
  </si>
  <si>
    <t>ESZGY Társulásnak IK hozzájárulás Bátaszék</t>
  </si>
  <si>
    <t>109.</t>
  </si>
  <si>
    <t>ESZGY Társulásnak Családsegítés Bátaszék</t>
  </si>
  <si>
    <t>110.</t>
  </si>
  <si>
    <t>ESZGY Társulásnak szociális étkeztetésre támogatás átadása</t>
  </si>
  <si>
    <t>111.</t>
  </si>
  <si>
    <t>ESZGY Társulásnak Védőnők  Bátaszék</t>
  </si>
  <si>
    <t>112.</t>
  </si>
  <si>
    <t>ESZGY Társulásnak HSNY-re hozzájárulás Bátaszék</t>
  </si>
  <si>
    <t>113.</t>
  </si>
  <si>
    <t>ESZGY Társulásnak Orvosi ügyeletre átvett Bátaszék</t>
  </si>
  <si>
    <t>114.</t>
  </si>
  <si>
    <t>115.</t>
  </si>
  <si>
    <t>Felhalmozási célú pénzeszközátadás államháztartáson kívülre</t>
  </si>
  <si>
    <t>116.</t>
  </si>
  <si>
    <t>Tűzoltó köztestület támogatása</t>
  </si>
  <si>
    <t>117.</t>
  </si>
  <si>
    <t>BSE TAO önerő támogatása</t>
  </si>
  <si>
    <t>118.</t>
  </si>
  <si>
    <t>157/2019 BSE támogatása műfüves pálya építéséhez</t>
  </si>
  <si>
    <t>119.</t>
  </si>
  <si>
    <t>Rittinger Antalné Ct feloldás</t>
  </si>
  <si>
    <t>120.</t>
  </si>
  <si>
    <t>205/2018 Ambrus L.né helyi védelem alatt álló ing.tám.</t>
  </si>
  <si>
    <t>Módosított előirányzat
(E Ft)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</si>
  <si>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</si>
  <si>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</si>
  <si>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</si>
  <si>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</si>
  <si>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</si>
  <si>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</si>
  <si>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</si>
  <si>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</si>
  <si>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</si>
  <si>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</si>
  <si>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</si>
  <si>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</si>
  <si>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</si>
  <si>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</si>
  <si>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</si>
  <si>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</si>
  <si>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B/I/1 Vásárolt készletek</t>
  </si>
  <si>
    <t>B/I Készletek (=B/I/1+…+B/I/5)</t>
  </si>
  <si>
    <t>43</t>
  </si>
  <si>
    <t>B) NEMZETI VAGYONBA TARTOZÓ FORGÓESZKÖZÖK (= B/I+B/II)</t>
  </si>
  <si>
    <t>47</t>
  </si>
  <si>
    <t>C/II/1 Forintpénztár</t>
  </si>
  <si>
    <t>48</t>
  </si>
  <si>
    <t>C/II/2 Valutapénztár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</si>
  <si>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</si>
  <si>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</si>
  <si>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</si>
  <si>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</si>
  <si>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</si>
  <si>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</si>
  <si>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</si>
  <si>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</si>
  <si>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</si>
  <si>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</si>
  <si>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56</t>
  </si>
  <si>
    <t>C/IV Devizaszámlák (=CIV/1+C/IV/2)</t>
  </si>
  <si>
    <t>57</t>
  </si>
  <si>
    <t>C) PÉNZESZKÖZÖK (=C/I+…+C/IV)</t>
  </si>
  <si>
    <t>60</t>
  </si>
  <si>
    <t>D/I/2 Költségvetési évben esedékes követelések felhalmozási célú támogatások bevételeire államháztartáson belülről (&gt;=D/I/2a)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</si>
  <si>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</si>
  <si>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</si>
  <si>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</si>
  <si>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</si>
  <si>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</si>
  <si>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</si>
  <si>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</si>
  <si>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</si>
  <si>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</si>
  <si>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</si>
  <si>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</si>
  <si>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</si>
  <si>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</si>
  <si>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</si>
  <si>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</si>
  <si>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</si>
  <si>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</si>
  <si>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</si>
  <si>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</si>
  <si>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</si>
  <si>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</si>
  <si>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</si>
  <si>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</si>
  <si>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</si>
  <si>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</si>
  <si>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</si>
  <si>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</si>
  <si>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</si>
  <si>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</si>
  <si>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</si>
  <si>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</si>
  <si>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</si>
  <si>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</si>
  <si>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</si>
  <si>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</si>
  <si>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</si>
  <si>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</si>
  <si>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</si>
  <si>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</si>
  <si>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</si>
  <si>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</si>
  <si>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</si>
  <si>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</si>
  <si>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</si>
  <si>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</si>
  <si>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</si>
  <si>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</si>
  <si>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</si>
  <si>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</si>
  <si>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</si>
  <si>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</si>
  <si>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</si>
  <si>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</si>
  <si>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</si>
  <si>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</si>
  <si>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</si>
  <si>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</si>
  <si>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</si>
  <si>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</si>
  <si>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</si>
  <si>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</si>
  <si>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</si>
  <si>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</si>
  <si>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</si>
  <si>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</si>
  <si>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</si>
  <si>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</si>
  <si>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</si>
  <si>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</si>
  <si>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</si>
  <si>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</si>
  <si>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</si>
  <si>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</si>
  <si>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</si>
  <si>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</si>
  <si>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</si>
  <si>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</si>
  <si>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</si>
  <si>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</si>
  <si>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</si>
  <si>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</si>
  <si>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</si>
  <si>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</si>
  <si>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</si>
  <si>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</si>
  <si>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191</t>
  </si>
  <si>
    <t>H/I/6 Költségvetési évben esedékes kötelezettségek beruházásokra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</si>
  <si>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</si>
  <si>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</si>
  <si>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</si>
  <si>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</si>
  <si>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217</t>
  </si>
  <si>
    <t>H/II/6 Költségvetési évet követően esedékes kötelezettségek beruházásokra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</si>
  <si>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</si>
  <si>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</si>
  <si>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</si>
  <si>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</si>
  <si>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</si>
  <si>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</si>
  <si>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</si>
  <si>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</si>
  <si>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</si>
  <si>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</si>
  <si>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</si>
  <si>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</si>
  <si>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</si>
  <si>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</si>
  <si>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</si>
  <si>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</si>
  <si>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</si>
  <si>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</si>
  <si>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</si>
  <si>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</si>
  <si>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</si>
  <si>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</si>
  <si>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</si>
  <si>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</si>
  <si>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Eltérés</t>
  </si>
  <si>
    <t>Százalék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</si>
  <si>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</si>
  <si>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</si>
  <si>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</si>
  <si>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</si>
  <si>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</si>
  <si>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</si>
  <si>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</si>
  <si>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</si>
  <si>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</si>
  <si>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</si>
  <si>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</si>
  <si>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</si>
  <si>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</si>
  <si>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</si>
  <si>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</si>
  <si>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</si>
  <si>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</si>
  <si>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</si>
  <si>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</si>
  <si>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</si>
  <si>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</si>
  <si>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</si>
  <si>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</si>
  <si>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</si>
  <si>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</si>
  <si>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</si>
  <si>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</si>
  <si>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</si>
  <si>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</si>
  <si>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</si>
  <si>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24 Fizetendő kamatok és kamatjellegű ráfordítások</t>
  </si>
  <si>
    <t>39</t>
  </si>
  <si>
    <t>26 Pénzügyi műveletek egyéb ráfordításai (&gt;=26a+26b)</t>
  </si>
  <si>
    <t>42</t>
  </si>
  <si>
    <t>IX Pénzügyi műveletek ráfordításai (=22+23+24+25+26)</t>
  </si>
  <si>
    <t>B)  PÉNZÜGYI MŰVELETEK EREDMÉNYE (=VIII-IX)</t>
  </si>
  <si>
    <t>44</t>
  </si>
  <si>
    <t>C)  MÉRLEG SZERINTI EREDMÉNY (=±A±B)</t>
  </si>
  <si>
    <t>7.2 tájékoztató tábla              Eredménykimutatás</t>
  </si>
  <si>
    <t>7.1 tájékoztató tábla                      Vagyonmérleg</t>
  </si>
  <si>
    <t>BÁT-KOM 2004 Kft.</t>
  </si>
  <si>
    <t>Bátaszékért Marketing Kft.</t>
  </si>
  <si>
    <t>Bátaszéki Naperőmű Nonprofit Kft.</t>
  </si>
  <si>
    <t xml:space="preserve">RE-VÍZ Duna-menti Kft. 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</si>
  <si>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</si>
  <si>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</si>
  <si>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</si>
  <si>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</si>
  <si>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</si>
  <si>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</si>
  <si>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</si>
  <si>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</si>
  <si>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</si>
  <si>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</si>
  <si>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</si>
  <si>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</si>
  <si>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</si>
  <si>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</si>
  <si>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Értékesítés</t>
  </si>
  <si>
    <t>Egyéb csökkenés</t>
  </si>
  <si>
    <t>Összes csökkenés (=09+…+13)</t>
  </si>
  <si>
    <t>15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</si>
  <si>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</si>
  <si>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</si>
  <si>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</si>
  <si>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</si>
  <si>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</si>
  <si>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</si>
  <si>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visszaírás, kivezetés</t>
  </si>
  <si>
    <t>Terven felüli értékcsökkenés záró állománya (=20+21-22)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</si>
  <si>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</si>
  <si>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</si>
  <si>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</si>
  <si>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</si>
  <si>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</si>
  <si>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10. tájékoztató tábla                         15/A - Kimutatás az immateriális javak, tárgyi eszközök koncesszióba, vagyonkezelésbe adott eszközök állományának alakulásáról</t>
  </si>
  <si>
    <t>Eredeti előirányzat 2019. év</t>
  </si>
  <si>
    <t>Módosított előirányzat      2019. év</t>
  </si>
  <si>
    <t>Rendszeres gyermekvédelmi kedvezményben részesülők természetbeni támogatása [Gyvt. 20/A.§ (1) bek.]</t>
  </si>
  <si>
    <r>
      <t>Rendszeres gyermekvédelmi kedvezményben részesülők természetbeni támogatása [Gyvt. 20/A.§ (2) bek.]</t>
    </r>
    <r>
      <rPr>
        <sz val="10"/>
        <color indexed="10"/>
        <rFont val="Arial"/>
        <family val="2"/>
      </rPr>
      <t xml:space="preserve"> </t>
    </r>
  </si>
  <si>
    <t>Rendszeres gyermekvédelmi kedvezményben részesülők pénzbeli ellátása [Gyvt. 19.§ 1a]</t>
  </si>
  <si>
    <t>Egyéb családi támogatás</t>
  </si>
  <si>
    <t>Családi támogatások (01+…+09)</t>
  </si>
  <si>
    <t>Települési támogatás lakhatás céljára (önk.-i r. 14-17. §)</t>
  </si>
  <si>
    <t>Települési támogatás mélt.-ból gyógyszerkiadások céljára (önk.-i r. 19. §)</t>
  </si>
  <si>
    <t>Települési támogatás rendk.-i települési támogatásra (önk.-i r.18. §)</t>
  </si>
  <si>
    <t>Települési támogatás temetés céljára (önk.-i r. 20. §)</t>
  </si>
  <si>
    <t>Bursa Hungarica (KT hat.)</t>
  </si>
  <si>
    <t>Eseti gyógyszerkiadás céljára (önk.-i r. 21. §)</t>
  </si>
  <si>
    <t>Temetés céljára kölcsön (önk.-i r. 26. §)</t>
  </si>
  <si>
    <t>Helyi autóbusz-közl. Támogatása, bérlettel (önk.-i r. 23-24. §)</t>
  </si>
  <si>
    <t>Köztemetéls (önk.-i r. 25. §)</t>
  </si>
  <si>
    <t>Szociális tűzifa juttatás (önk.-i r. 26/A.§)</t>
  </si>
  <si>
    <t>90 éven felüliek karácsonyi támogatása (önk-i r. 22. § (1) bek. a)</t>
  </si>
  <si>
    <t>Létfenntartási gonddal küzdők karácsonyi támogatása (önk-i r. 22. § (1) bek. b)</t>
  </si>
  <si>
    <t>Település támogatás (10+….+21)</t>
  </si>
  <si>
    <t>Újszülöttek támogatása (Gyer. Önk.-i r. 8. §)</t>
  </si>
  <si>
    <t>Gimnázium iskolakezdési támogatás (Gyer. Önk.-i r. 6. §)</t>
  </si>
  <si>
    <t>Zeneiskolai támogatás (Gyer.önk-i 6/A. §)</t>
  </si>
  <si>
    <t>Szennyvízrákötés (szennyvíz_rákötésR.)</t>
  </si>
  <si>
    <t>Védőoltások</t>
  </si>
  <si>
    <t>Központi költségvetésből finanszírozott rezsicsökkentéshez kapcsolódó tüzelőanyag</t>
  </si>
  <si>
    <t>Egyéb nem intézményi ellátások (33+…+48)</t>
  </si>
  <si>
    <t>Ellátottak pénzbeli juttatásai (10+17+20+28+32+49)</t>
  </si>
  <si>
    <t>*</t>
  </si>
  <si>
    <t>Szociális tűzifa juttatás (önk.-i r. 26.§)</t>
  </si>
  <si>
    <t>Helyi autóbusz-közl. Támogatása, bérlettel (önk.-i r. 24-25. §)</t>
  </si>
  <si>
    <t>Téli rezsicsökkentéshez kapcsolódó tüzelőanyag</t>
  </si>
  <si>
    <t>Természetbeni jutatások összesen</t>
  </si>
  <si>
    <t>Tényadat           2019. év</t>
  </si>
  <si>
    <t>11. tájékoztató tábla              Ellátottak pénzbeli jutattásai előirányzata és teljesítése</t>
  </si>
  <si>
    <t xml:space="preserve"> Ezer forintban !</t>
  </si>
  <si>
    <t>Véglegesen átvett pénzeszköz megnevezése</t>
  </si>
  <si>
    <t>2019. évi eredeti előirányzat</t>
  </si>
  <si>
    <t>6.1</t>
  </si>
  <si>
    <t>Támogatásértékű működési bevételek (6.1.1.+…+6.1.4.)</t>
  </si>
  <si>
    <t>6.1.1</t>
  </si>
  <si>
    <t>OEP-től átvett pénzeszköz</t>
  </si>
  <si>
    <t>6.1.1.1</t>
  </si>
  <si>
    <t>Fogorvosra átvett OEP támogatás</t>
  </si>
  <si>
    <t>6.1.1.2</t>
  </si>
  <si>
    <t>6.1.4</t>
  </si>
  <si>
    <t>EU-s támogatásból származó bevétel</t>
  </si>
  <si>
    <t>EFOP-3.3.2-Könyvtár</t>
  </si>
  <si>
    <t>Könyvtár</t>
  </si>
  <si>
    <t>Kehop 1.2.1-Helyi klímastratégiák kidolg.működési bevétel</t>
  </si>
  <si>
    <t>6.1.3</t>
  </si>
  <si>
    <t>Elkülönített állami pénzalapoktól átvett pénzeszköz</t>
  </si>
  <si>
    <t>Bátaapáti TETT</t>
  </si>
  <si>
    <t>Közfoglalkoztatásra átvett / Hosszabb időtart.890442</t>
  </si>
  <si>
    <t>Közfoglalkoztatásra átvett 2019. ütem</t>
  </si>
  <si>
    <t>Nyári diákmunka</t>
  </si>
  <si>
    <t>Közfoglalkoztatás egyszeri támogatás</t>
  </si>
  <si>
    <t>Királyi Gasztrónómiai est</t>
  </si>
  <si>
    <t>Egyéb kvi szervtől átvett támogatás</t>
  </si>
  <si>
    <t>6.1.4.1</t>
  </si>
  <si>
    <t>Központi (fejezettől) kvi szervtől átv. pénz.</t>
  </si>
  <si>
    <t>Polgármesteri illetményemelkedés kompenzálása</t>
  </si>
  <si>
    <t>Gyermekvédelmi támogatásra (Erzsébet utalványok)</t>
  </si>
  <si>
    <t>KIEFO/11132 Illegális hulladéklerakó felszámolására támogatás</t>
  </si>
  <si>
    <t>Egyéb működési célú támogatás (Európai Parlamenzi választás)</t>
  </si>
  <si>
    <t>KÖH</t>
  </si>
  <si>
    <t>Egyéb működési célú támogatás (Helyi önk.választás)</t>
  </si>
  <si>
    <t>6.1.4.2</t>
  </si>
  <si>
    <t>Támogatás értékű bevétel önkormányzattól</t>
  </si>
  <si>
    <t>Önkormányzatoktól átvett KÖH (2018. év)</t>
  </si>
  <si>
    <t>Önkormányzatoktól átvett-Óvodára (2017)</t>
  </si>
  <si>
    <t>Önkormányzatoktól átvett-Orvosi ügyeletre (2017.év)</t>
  </si>
  <si>
    <t>Önkormányzattól átvett-HSNY társulásra (2017.évi)</t>
  </si>
  <si>
    <t>A KÖH-re átvett társulási támogatások (munkaszervezet) MOB</t>
  </si>
  <si>
    <t>A KÖH-re átvett társulási támogatások (munkaszervezet) ESZGY</t>
  </si>
  <si>
    <t>A KÖH-re átvett társulási támogatások (munkaszervezet) szenyv.</t>
  </si>
  <si>
    <t>Alsónyék Önkormányzata KÖH hozzájárulás</t>
  </si>
  <si>
    <t>Alsónána Önkormányzata KÖH hozzájárulás</t>
  </si>
  <si>
    <t>167/2019 KÖH 2018. évi elszámolás visszafizetendő tám</t>
  </si>
  <si>
    <t>6.1.4.3</t>
  </si>
  <si>
    <t>150/2019 ESZGY társulás 2018. évi elszámolási külömbözet</t>
  </si>
  <si>
    <t>150/2019 MOB társulás 2018. évi elszámolási külömbözet</t>
  </si>
  <si>
    <t>6.1.4.4</t>
  </si>
  <si>
    <t>Előző évi költségvetési kiegészítések, visszatérülések</t>
  </si>
  <si>
    <t>Támogatásértékű felhalmozási bevételek (6.2.1+…+6.2.4)</t>
  </si>
  <si>
    <t>6.2.1</t>
  </si>
  <si>
    <t>6.2.2.</t>
  </si>
  <si>
    <t>EU támogatás</t>
  </si>
  <si>
    <t>TOP-1.1.1. Iparterület</t>
  </si>
  <si>
    <t>TOP-3.2.1. Gimi</t>
  </si>
  <si>
    <t>TOP-1.1.3.Agrár</t>
  </si>
  <si>
    <t>TOP-3.2.1.Tanuszoda</t>
  </si>
  <si>
    <t>6.2.3</t>
  </si>
  <si>
    <t>Bátaapáti TETT / felhalmozási</t>
  </si>
  <si>
    <t>6.2.4</t>
  </si>
  <si>
    <t>Önkormányzatoktól társulástól átvett pénzeszköz</t>
  </si>
  <si>
    <t>6.2.5</t>
  </si>
  <si>
    <t>Egyéb kvi szervtől átvett támogatás(5.7.4.1+..+5.7.4.6.)</t>
  </si>
  <si>
    <t>Működési célú pénzeszköz átvétel államháztartáson kívülről</t>
  </si>
  <si>
    <t>Gondozási Központ elkülönített adomány számla bevétel</t>
  </si>
  <si>
    <t>Külterületi utak bevétele</t>
  </si>
  <si>
    <t>Védőoltások bevétele</t>
  </si>
  <si>
    <t>Felhalmozási célú pénzeszk. átvétel államháztartáson kívülről</t>
  </si>
  <si>
    <t>Bát-Kom 2004. Kft. Visszatérítendő támogatása</t>
  </si>
  <si>
    <t>IV. Véglegesen átvett pénzeszközök (6.1+ 6.2+ 6.3 + 6.4)</t>
  </si>
  <si>
    <t>2019. évi módosított előirányzat</t>
  </si>
  <si>
    <t>Szoc kölcsönök megtérülése</t>
  </si>
  <si>
    <t>Osváth Gábor II. világháborús emlékmű felújítására</t>
  </si>
  <si>
    <t>Bátaszéki Német Nemzetiségi Egyesület támogatás elszámolásból adódó visszafizetési kötelezettség</t>
  </si>
  <si>
    <t>Bátaszék Város Közoktatási, Közművelődési és Műemlékvédelmi Alapítvány támogatás elszámolásból adódó visszafizetési kötelezettség</t>
  </si>
  <si>
    <t>Vízdíjtartozók bevétele</t>
  </si>
  <si>
    <t>2019. évi teljesítés</t>
  </si>
  <si>
    <t xml:space="preserve">12. tájékoztató tábla </t>
  </si>
  <si>
    <t>TOP-1.1.1.-15-TL1-2016-00002 "Iparterület fejlesztése Bátaszéken"</t>
  </si>
  <si>
    <t>TOP-1.1.3.-15-TL1-2016-00004 "Agrárlogisztikai központ kialakítása Bátaszéken"</t>
  </si>
  <si>
    <t>TOP-3.2.1-15-TL1-2016-00016 "Cikádor Általános Iskola és Gimnáziuma energetikai korszerűsítése"</t>
  </si>
  <si>
    <t>TOP-3.1.1-15-TL1-2016-00006 "Alsónyék Bátaszék közötti Kerékpáros közlekedésfejlesztés"</t>
  </si>
  <si>
    <t xml:space="preserve">TOP 3.2.1 -15-TL1-2016-00009 "Tanuszoda energ.korszerűsítése         
TOP 3.2.1 -15-TL1-2016-00009 "Tanuszoda energ.korszerűsítése         
</t>
  </si>
  <si>
    <t>KEHOP-2.2.1.-2015-00021 Bátaszék Szennyvíztelep fejlesztése, Bátaszék,Báta szennyvízcsatornázás befejezése</t>
  </si>
  <si>
    <t>KEHOP-1.2.1-18 Helyi klímastartégiák kidolgozása Bátaszéken</t>
  </si>
  <si>
    <t>EFOP-3.3.2-2016-00356 "Gondozott gondolatok"</t>
  </si>
  <si>
    <t>Európai úniós támogatással megvalósuló projektek</t>
  </si>
  <si>
    <t>Magyar Zarándokút</t>
  </si>
  <si>
    <t>121.</t>
  </si>
  <si>
    <t>e  Forintban!</t>
  </si>
  <si>
    <t>Minimálbér gar. Bérmin. Támogatása</t>
  </si>
  <si>
    <t>2019. évi normatíva elszámolás-többlettámogatás MOB</t>
  </si>
  <si>
    <t>2019. évi normatíva elszámolás-visszafizetési kötelezettség MOB</t>
  </si>
  <si>
    <t>%</t>
  </si>
  <si>
    <t>Támogatás értékű bev. társulástól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</si>
</sst>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0.0%"/>
    <numFmt numFmtId="181" formatCode="#,##0.00000"/>
  </numFmts>
  <fonts count="11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i/>
      <sz val="12"/>
      <name val="Times New Roman CE"/>
      <family val="0"/>
    </font>
    <font>
      <b/>
      <sz val="5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4" fillId="26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8" borderId="7" applyNumberFormat="0" applyFont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7" fillId="0" borderId="0">
      <alignment/>
      <protection/>
    </xf>
    <xf numFmtId="0" fontId="43" fillId="0" borderId="0">
      <alignment/>
      <protection/>
    </xf>
    <xf numFmtId="0" fontId="97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4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0" fontId="10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7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82" applyFont="1" applyFill="1" applyBorder="1" applyAlignment="1" applyProtection="1">
      <alignment horizontal="center" vertical="center" wrapText="1"/>
      <protection/>
    </xf>
    <xf numFmtId="0" fontId="5" fillId="0" borderId="0" xfId="82" applyFont="1" applyFill="1" applyBorder="1" applyAlignment="1" applyProtection="1">
      <alignment vertical="center" wrapText="1"/>
      <protection/>
    </xf>
    <xf numFmtId="0" fontId="13" fillId="0" borderId="10" xfId="82" applyFont="1" applyFill="1" applyBorder="1" applyAlignment="1" applyProtection="1">
      <alignment horizontal="left" vertical="center" wrapText="1" indent="1"/>
      <protection/>
    </xf>
    <xf numFmtId="0" fontId="13" fillId="0" borderId="11" xfId="82" applyFont="1" applyFill="1" applyBorder="1" applyAlignment="1" applyProtection="1">
      <alignment horizontal="left" vertical="center" wrapText="1" indent="1"/>
      <protection/>
    </xf>
    <xf numFmtId="0" fontId="13" fillId="0" borderId="12" xfId="82" applyFont="1" applyFill="1" applyBorder="1" applyAlignment="1" applyProtection="1">
      <alignment horizontal="left" vertical="center" wrapText="1" indent="1"/>
      <protection/>
    </xf>
    <xf numFmtId="0" fontId="13" fillId="0" borderId="13" xfId="82" applyFont="1" applyFill="1" applyBorder="1" applyAlignment="1" applyProtection="1">
      <alignment horizontal="left" vertical="center" wrapText="1" indent="1"/>
      <protection/>
    </xf>
    <xf numFmtId="0" fontId="13" fillId="0" borderId="14" xfId="82" applyFont="1" applyFill="1" applyBorder="1" applyAlignment="1" applyProtection="1">
      <alignment horizontal="left" vertical="center" wrapText="1" indent="1"/>
      <protection/>
    </xf>
    <xf numFmtId="0" fontId="13" fillId="0" borderId="15" xfId="82" applyFont="1" applyFill="1" applyBorder="1" applyAlignment="1" applyProtection="1">
      <alignment horizontal="left" vertical="center" wrapText="1" indent="1"/>
      <protection/>
    </xf>
    <xf numFmtId="49" fontId="13" fillId="0" borderId="16" xfId="82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82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82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82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82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82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82" applyFont="1" applyFill="1" applyBorder="1" applyAlignment="1" applyProtection="1">
      <alignment horizontal="left" vertical="center" wrapText="1" indent="1"/>
      <protection/>
    </xf>
    <xf numFmtId="0" fontId="12" fillId="0" borderId="22" xfId="82" applyFont="1" applyFill="1" applyBorder="1" applyAlignment="1" applyProtection="1">
      <alignment horizontal="left" vertical="center" wrapText="1" indent="1"/>
      <protection/>
    </xf>
    <xf numFmtId="0" fontId="12" fillId="0" borderId="23" xfId="82" applyFont="1" applyFill="1" applyBorder="1" applyAlignment="1" applyProtection="1">
      <alignment horizontal="left" vertical="center" wrapText="1" indent="1"/>
      <protection/>
    </xf>
    <xf numFmtId="0" fontId="12" fillId="0" borderId="24" xfId="82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82" applyFont="1" applyFill="1" applyBorder="1" applyAlignment="1" applyProtection="1">
      <alignment vertical="center" wrapText="1"/>
      <protection/>
    </xf>
    <xf numFmtId="0" fontId="12" fillId="0" borderId="25" xfId="82" applyFont="1" applyFill="1" applyBorder="1" applyAlignment="1" applyProtection="1">
      <alignment vertical="center" wrapText="1"/>
      <protection/>
    </xf>
    <xf numFmtId="0" fontId="12" fillId="0" borderId="22" xfId="82" applyFont="1" applyFill="1" applyBorder="1" applyAlignment="1" applyProtection="1">
      <alignment horizontal="center" vertical="center" wrapText="1"/>
      <protection/>
    </xf>
    <xf numFmtId="0" fontId="12" fillId="0" borderId="23" xfId="82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82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82" applyFont="1" applyFill="1" applyBorder="1" applyAlignment="1" applyProtection="1">
      <alignment horizontal="left" vertical="center" wrapText="1" indent="1"/>
      <protection/>
    </xf>
    <xf numFmtId="0" fontId="13" fillId="0" borderId="11" xfId="82" applyFont="1" applyFill="1" applyBorder="1" applyAlignment="1" applyProtection="1">
      <alignment horizontal="left" indent="6"/>
      <protection/>
    </xf>
    <xf numFmtId="0" fontId="13" fillId="0" borderId="11" xfId="82" applyFont="1" applyFill="1" applyBorder="1" applyAlignment="1" applyProtection="1">
      <alignment horizontal="left" vertical="center" wrapText="1" indent="6"/>
      <protection/>
    </xf>
    <xf numFmtId="0" fontId="13" fillId="0" borderId="15" xfId="82" applyFont="1" applyFill="1" applyBorder="1" applyAlignment="1" applyProtection="1">
      <alignment horizontal="left" vertical="center" wrapText="1" indent="6"/>
      <protection/>
    </xf>
    <xf numFmtId="0" fontId="13" fillId="0" borderId="29" xfId="82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8" xfId="0" applyNumberFormat="1" applyFont="1" applyFill="1" applyBorder="1" applyAlignment="1" applyProtection="1">
      <alignment vertical="center"/>
      <protection/>
    </xf>
    <xf numFmtId="166" fontId="12" fillId="0" borderId="34" xfId="82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8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82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82" applyFont="1" applyFill="1" applyProtection="1">
      <alignment/>
      <protection/>
    </xf>
    <xf numFmtId="0" fontId="2" fillId="0" borderId="0" xfId="82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82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82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8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82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82" applyFont="1" applyFill="1" applyBorder="1" applyAlignment="1" applyProtection="1">
      <alignment horizontal="center" vertical="center" wrapText="1"/>
      <protection/>
    </xf>
    <xf numFmtId="0" fontId="12" fillId="0" borderId="25" xfId="82" applyFont="1" applyFill="1" applyBorder="1" applyAlignment="1" applyProtection="1">
      <alignment horizontal="center" vertical="center" wrapText="1"/>
      <protection/>
    </xf>
    <xf numFmtId="0" fontId="13" fillId="0" borderId="12" xfId="82" applyFont="1" applyFill="1" applyBorder="1" applyAlignment="1" applyProtection="1">
      <alignment horizontal="left" vertical="center" wrapText="1" indent="6"/>
      <protection/>
    </xf>
    <xf numFmtId="0" fontId="2" fillId="0" borderId="0" xfId="82" applyFill="1" applyProtection="1">
      <alignment/>
      <protection/>
    </xf>
    <xf numFmtId="0" fontId="13" fillId="0" borderId="0" xfId="82" applyFont="1" applyFill="1" applyProtection="1">
      <alignment/>
      <protection/>
    </xf>
    <xf numFmtId="0" fontId="0" fillId="0" borderId="0" xfId="82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82" applyFill="1" applyAlignment="1" applyProtection="1">
      <alignment/>
      <protection/>
    </xf>
    <xf numFmtId="0" fontId="14" fillId="0" borderId="0" xfId="82" applyFont="1" applyFill="1" applyProtection="1">
      <alignment/>
      <protection/>
    </xf>
    <xf numFmtId="0" fontId="5" fillId="0" borderId="0" xfId="82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82" applyNumberFormat="1" applyFont="1" applyFill="1" applyBorder="1" applyAlignment="1" applyProtection="1">
      <alignment horizontal="center" vertical="center" wrapText="1"/>
      <protection/>
    </xf>
    <xf numFmtId="49" fontId="13" fillId="0" borderId="17" xfId="82" applyNumberFormat="1" applyFont="1" applyFill="1" applyBorder="1" applyAlignment="1" applyProtection="1">
      <alignment horizontal="center" vertical="center" wrapText="1"/>
      <protection/>
    </xf>
    <xf numFmtId="49" fontId="13" fillId="0" borderId="19" xfId="82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82" applyNumberFormat="1" applyFont="1" applyFill="1" applyBorder="1" applyAlignment="1" applyProtection="1">
      <alignment horizontal="center" vertical="center" wrapText="1"/>
      <protection/>
    </xf>
    <xf numFmtId="49" fontId="13" fillId="0" borderId="16" xfId="82" applyNumberFormat="1" applyFont="1" applyFill="1" applyBorder="1" applyAlignment="1" applyProtection="1">
      <alignment horizontal="center" vertical="center" wrapText="1"/>
      <protection/>
    </xf>
    <xf numFmtId="49" fontId="13" fillId="0" borderId="21" xfId="82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82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82" applyFont="1" applyFill="1" applyBorder="1" applyAlignment="1" applyProtection="1">
      <alignment horizontal="left" vertical="center" wrapText="1" indent="1"/>
      <protection/>
    </xf>
    <xf numFmtId="0" fontId="13" fillId="0" borderId="11" xfId="82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8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8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82" applyFont="1" applyFill="1" applyBorder="1" applyAlignment="1" applyProtection="1">
      <alignment horizontal="left" vertical="center" wrapText="1" indent="1"/>
      <protection/>
    </xf>
    <xf numFmtId="0" fontId="12" fillId="0" borderId="32" xfId="82" applyFont="1" applyFill="1" applyBorder="1" applyAlignment="1" applyProtection="1">
      <alignment vertical="center" wrapText="1"/>
      <protection/>
    </xf>
    <xf numFmtId="0" fontId="13" fillId="0" borderId="29" xfId="82" applyFont="1" applyFill="1" applyBorder="1" applyAlignment="1" applyProtection="1">
      <alignment horizontal="left" vertical="center" wrapText="1" indent="7"/>
      <protection/>
    </xf>
    <xf numFmtId="0" fontId="12" fillId="0" borderId="22" xfId="82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82" applyNumberFormat="1" applyFont="1" applyFill="1" applyBorder="1" applyAlignment="1" applyProtection="1">
      <alignment horizontal="center" vertical="center" wrapText="1"/>
      <protection/>
    </xf>
    <xf numFmtId="166" fontId="12" fillId="0" borderId="47" xfId="82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8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82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8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82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82" applyFont="1" applyFill="1" applyBorder="1" applyAlignment="1" applyProtection="1">
      <alignment horizontal="center" vertical="center" wrapText="1"/>
      <protection/>
    </xf>
    <xf numFmtId="0" fontId="6" fillId="0" borderId="51" xfId="82" applyFont="1" applyFill="1" applyBorder="1" applyAlignment="1" applyProtection="1">
      <alignment horizontal="center" vertical="center" wrapText="1"/>
      <protection/>
    </xf>
    <xf numFmtId="0" fontId="12" fillId="0" borderId="52" xfId="82" applyFont="1" applyFill="1" applyBorder="1" applyAlignment="1" applyProtection="1">
      <alignment horizontal="center" vertical="center" wrapText="1"/>
      <protection/>
    </xf>
    <xf numFmtId="166" fontId="12" fillId="0" borderId="53" xfId="82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82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8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82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82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166" fontId="13" fillId="0" borderId="14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82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8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7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8" xfId="82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29" xfId="82" applyFont="1" applyFill="1" applyBorder="1" applyAlignment="1" applyProtection="1">
      <alignment horizontal="left" vertical="center" wrapText="1" indent="1"/>
      <protection/>
    </xf>
    <xf numFmtId="0" fontId="2" fillId="0" borderId="0" xfId="82" applyFont="1" applyFill="1" applyProtection="1">
      <alignment/>
      <protection locked="0"/>
    </xf>
    <xf numFmtId="0" fontId="2" fillId="0" borderId="0" xfId="82" applyFont="1" applyFill="1" applyAlignment="1" applyProtection="1">
      <alignment horizontal="right" vertical="center" indent="1"/>
      <protection locked="0"/>
    </xf>
    <xf numFmtId="0" fontId="2" fillId="0" borderId="0" xfId="82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82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8" xfId="82" applyFont="1" applyFill="1" applyBorder="1" applyAlignment="1" applyProtection="1">
      <alignment horizontal="center" vertical="center" wrapText="1"/>
      <protection/>
    </xf>
    <xf numFmtId="0" fontId="12" fillId="0" borderId="23" xfId="82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8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8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82" applyNumberFormat="1" applyFont="1" applyFill="1" applyBorder="1" applyAlignment="1" applyProtection="1">
      <alignment/>
      <protection/>
    </xf>
    <xf numFmtId="0" fontId="12" fillId="0" borderId="34" xfId="82" applyFont="1" applyFill="1" applyBorder="1" applyAlignment="1" applyProtection="1">
      <alignment horizontal="center" vertical="center" wrapText="1"/>
      <protection/>
    </xf>
    <xf numFmtId="0" fontId="13" fillId="0" borderId="13" xfId="82" applyFont="1" applyFill="1" applyBorder="1" applyAlignment="1" applyProtection="1">
      <alignment horizontal="left" vertical="center" wrapText="1"/>
      <protection/>
    </xf>
    <xf numFmtId="0" fontId="13" fillId="0" borderId="11" xfId="82" applyFont="1" applyFill="1" applyBorder="1" applyAlignment="1" applyProtection="1">
      <alignment horizontal="left" vertical="center" wrapText="1"/>
      <protection/>
    </xf>
    <xf numFmtId="0" fontId="13" fillId="0" borderId="14" xfId="82" applyFont="1" applyFill="1" applyBorder="1" applyAlignment="1" applyProtection="1">
      <alignment horizontal="left" vertical="center" wrapText="1"/>
      <protection/>
    </xf>
    <xf numFmtId="0" fontId="13" fillId="0" borderId="0" xfId="82" applyFont="1" applyFill="1" applyBorder="1" applyAlignment="1" applyProtection="1">
      <alignment horizontal="left" vertical="center" wrapText="1"/>
      <protection/>
    </xf>
    <xf numFmtId="0" fontId="13" fillId="0" borderId="11" xfId="82" applyFont="1" applyFill="1" applyBorder="1" applyAlignment="1" applyProtection="1">
      <alignment horizontal="left" vertical="center"/>
      <protection/>
    </xf>
    <xf numFmtId="0" fontId="13" fillId="0" borderId="15" xfId="82" applyFont="1" applyFill="1" applyBorder="1" applyAlignment="1" applyProtection="1">
      <alignment horizontal="left" vertical="center" wrapText="1"/>
      <protection/>
    </xf>
    <xf numFmtId="0" fontId="13" fillId="0" borderId="29" xfId="82" applyFont="1" applyFill="1" applyBorder="1" applyAlignment="1" applyProtection="1">
      <alignment horizontal="left" vertical="center" wrapText="1"/>
      <protection/>
    </xf>
    <xf numFmtId="0" fontId="13" fillId="0" borderId="12" xfId="82" applyFont="1" applyFill="1" applyBorder="1" applyAlignment="1" applyProtection="1">
      <alignment horizontal="left" vertical="center" wrapText="1"/>
      <protection/>
    </xf>
    <xf numFmtId="0" fontId="2" fillId="0" borderId="0" xfId="82" applyFill="1" applyAlignment="1" applyProtection="1">
      <alignment horizontal="left" vertical="center" indent="1"/>
      <protection/>
    </xf>
    <xf numFmtId="0" fontId="12" fillId="0" borderId="23" xfId="82" applyFont="1" applyFill="1" applyBorder="1" applyAlignment="1" applyProtection="1">
      <alignment horizontal="left" vertical="center" wrapText="1"/>
      <protection/>
    </xf>
    <xf numFmtId="0" fontId="13" fillId="0" borderId="10" xfId="82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6" fillId="0" borderId="62" xfId="0" applyNumberFormat="1" applyFont="1" applyFill="1" applyBorder="1" applyAlignment="1" applyProtection="1">
      <alignment horizontal="centerContinuous" vertical="center"/>
      <protection/>
    </xf>
    <xf numFmtId="166" fontId="6" fillId="0" borderId="63" xfId="0" applyNumberFormat="1" applyFont="1" applyFill="1" applyBorder="1" applyAlignment="1" applyProtection="1">
      <alignment horizontal="centerContinuous" vertical="center"/>
      <protection/>
    </xf>
    <xf numFmtId="166" fontId="6" fillId="0" borderId="48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64" xfId="0" applyNumberFormat="1" applyFont="1" applyFill="1" applyBorder="1" applyAlignment="1" applyProtection="1">
      <alignment horizontal="center" vertical="center"/>
      <protection/>
    </xf>
    <xf numFmtId="166" fontId="6" fillId="0" borderId="65" xfId="0" applyNumberFormat="1" applyFont="1" applyFill="1" applyBorder="1" applyAlignment="1" applyProtection="1">
      <alignment horizontal="center" vertical="center"/>
      <protection/>
    </xf>
    <xf numFmtId="166" fontId="6" fillId="0" borderId="58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59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3" xfId="0" applyNumberFormat="1" applyFont="1" applyFill="1" applyBorder="1" applyAlignment="1" applyProtection="1">
      <alignment horizontal="center" vertical="center" wrapText="1"/>
      <protection/>
    </xf>
    <xf numFmtId="166" fontId="12" fillId="0" borderId="4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62" xfId="0" applyNumberFormat="1" applyFont="1" applyFill="1" applyBorder="1" applyAlignment="1" applyProtection="1">
      <alignment vertical="center" wrapText="1"/>
      <protection/>
    </xf>
    <xf numFmtId="166" fontId="12" fillId="0" borderId="66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9" xfId="0" applyNumberFormat="1" applyFont="1" applyFill="1" applyBorder="1" applyAlignment="1" applyProtection="1">
      <alignment vertical="center" wrapText="1"/>
      <protection locked="0"/>
    </xf>
    <xf numFmtId="166" fontId="13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6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3" xfId="0" applyNumberFormat="1" applyFont="1" applyFill="1" applyBorder="1" applyAlignment="1" applyProtection="1">
      <alignment vertical="center" wrapText="1"/>
      <protection/>
    </xf>
    <xf numFmtId="166" fontId="12" fillId="0" borderId="43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3" xfId="0" applyNumberFormat="1" applyFont="1" applyFill="1" applyBorder="1" applyAlignment="1">
      <alignment horizontal="left" vertical="center" wrapText="1" indent="1"/>
    </xf>
    <xf numFmtId="166" fontId="0" fillId="33" borderId="43" xfId="0" applyNumberFormat="1" applyFont="1" applyFill="1" applyBorder="1" applyAlignment="1">
      <alignment horizontal="left" vertical="center" wrapText="1" indent="2"/>
    </xf>
    <xf numFmtId="166" fontId="0" fillId="33" borderId="33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0" fillId="33" borderId="43" xfId="0" applyNumberFormat="1" applyFont="1" applyFill="1" applyBorder="1" applyAlignment="1">
      <alignment horizontal="right" vertical="center" wrapText="1" indent="2"/>
    </xf>
    <xf numFmtId="166" fontId="0" fillId="33" borderId="33" xfId="0" applyNumberFormat="1" applyFont="1" applyFill="1" applyBorder="1" applyAlignment="1">
      <alignment horizontal="right" vertical="center" wrapText="1" indent="2"/>
    </xf>
    <xf numFmtId="166" fontId="13" fillId="0" borderId="39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3" fillId="0" borderId="67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65" xfId="0" applyNumberFormat="1" applyFont="1" applyFill="1" applyBorder="1" applyAlignment="1" applyProtection="1">
      <alignment vertical="center"/>
      <protection locked="0"/>
    </xf>
    <xf numFmtId="166" fontId="12" fillId="0" borderId="53" xfId="0" applyNumberFormat="1" applyFont="1" applyFill="1" applyBorder="1" applyAlignment="1" applyProtection="1">
      <alignment vertical="center"/>
      <protection/>
    </xf>
    <xf numFmtId="166" fontId="12" fillId="0" borderId="5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84" applyFill="1">
      <alignment/>
      <protection/>
    </xf>
    <xf numFmtId="0" fontId="15" fillId="0" borderId="24" xfId="84" applyFont="1" applyFill="1" applyBorder="1" applyAlignment="1">
      <alignment horizontal="center" vertical="center"/>
      <protection/>
    </xf>
    <xf numFmtId="0" fontId="20" fillId="0" borderId="25" xfId="83" applyFont="1" applyFill="1" applyBorder="1" applyAlignment="1" applyProtection="1">
      <alignment horizontal="center" vertical="center" textRotation="90"/>
      <protection/>
    </xf>
    <xf numFmtId="0" fontId="15" fillId="0" borderId="25" xfId="84" applyFont="1" applyFill="1" applyBorder="1" applyAlignment="1">
      <alignment horizontal="center" vertical="center" wrapText="1"/>
      <protection/>
    </xf>
    <xf numFmtId="0" fontId="15" fillId="0" borderId="69" xfId="84" applyFont="1" applyFill="1" applyBorder="1" applyAlignment="1">
      <alignment horizontal="center" vertical="center" wrapText="1"/>
      <protection/>
    </xf>
    <xf numFmtId="0" fontId="15" fillId="0" borderId="22" xfId="84" applyFont="1" applyFill="1" applyBorder="1" applyAlignment="1">
      <alignment horizontal="center" vertical="center"/>
      <protection/>
    </xf>
    <xf numFmtId="0" fontId="15" fillId="0" borderId="23" xfId="84" applyFont="1" applyFill="1" applyBorder="1" applyAlignment="1">
      <alignment horizontal="center" vertical="center" wrapText="1"/>
      <protection/>
    </xf>
    <xf numFmtId="0" fontId="15" fillId="0" borderId="28" xfId="84" applyFont="1" applyFill="1" applyBorder="1" applyAlignment="1">
      <alignment horizontal="center" vertical="center" wrapText="1"/>
      <protection/>
    </xf>
    <xf numFmtId="0" fontId="16" fillId="0" borderId="17" xfId="84" applyFont="1" applyFill="1" applyBorder="1" applyProtection="1">
      <alignment/>
      <protection locked="0"/>
    </xf>
    <xf numFmtId="0" fontId="16" fillId="0" borderId="12" xfId="84" applyFont="1" applyFill="1" applyBorder="1" applyAlignment="1">
      <alignment horizontal="right" indent="1"/>
      <protection/>
    </xf>
    <xf numFmtId="3" fontId="16" fillId="0" borderId="12" xfId="84" applyNumberFormat="1" applyFont="1" applyFill="1" applyBorder="1" applyProtection="1">
      <alignment/>
      <protection locked="0"/>
    </xf>
    <xf numFmtId="3" fontId="16" fillId="0" borderId="68" xfId="84" applyNumberFormat="1" applyFont="1" applyFill="1" applyBorder="1" applyProtection="1">
      <alignment/>
      <protection locked="0"/>
    </xf>
    <xf numFmtId="0" fontId="16" fillId="0" borderId="11" xfId="84" applyFont="1" applyFill="1" applyBorder="1" applyAlignment="1">
      <alignment horizontal="right" indent="1"/>
      <protection/>
    </xf>
    <xf numFmtId="3" fontId="16" fillId="0" borderId="11" xfId="84" applyNumberFormat="1" applyFont="1" applyFill="1" applyBorder="1" applyProtection="1">
      <alignment/>
      <protection locked="0"/>
    </xf>
    <xf numFmtId="3" fontId="16" fillId="0" borderId="26" xfId="84" applyNumberFormat="1" applyFont="1" applyFill="1" applyBorder="1" applyProtection="1">
      <alignment/>
      <protection locked="0"/>
    </xf>
    <xf numFmtId="0" fontId="16" fillId="0" borderId="19" xfId="84" applyFont="1" applyFill="1" applyBorder="1" applyProtection="1">
      <alignment/>
      <protection locked="0"/>
    </xf>
    <xf numFmtId="0" fontId="16" fillId="0" borderId="15" xfId="84" applyFont="1" applyFill="1" applyBorder="1" applyAlignment="1">
      <alignment horizontal="right" indent="1"/>
      <protection/>
    </xf>
    <xf numFmtId="3" fontId="16" fillId="0" borderId="15" xfId="84" applyNumberFormat="1" applyFont="1" applyFill="1" applyBorder="1" applyProtection="1">
      <alignment/>
      <protection locked="0"/>
    </xf>
    <xf numFmtId="3" fontId="16" fillId="0" borderId="27" xfId="84" applyNumberFormat="1" applyFont="1" applyFill="1" applyBorder="1" applyProtection="1">
      <alignment/>
      <protection locked="0"/>
    </xf>
    <xf numFmtId="0" fontId="17" fillId="0" borderId="22" xfId="84" applyFont="1" applyFill="1" applyBorder="1" applyProtection="1">
      <alignment/>
      <protection locked="0"/>
    </xf>
    <xf numFmtId="0" fontId="16" fillId="0" borderId="23" xfId="84" applyFont="1" applyFill="1" applyBorder="1" applyAlignment="1">
      <alignment horizontal="right" indent="1"/>
      <protection/>
    </xf>
    <xf numFmtId="178" fontId="12" fillId="0" borderId="28" xfId="83" applyNumberFormat="1" applyFont="1" applyFill="1" applyBorder="1" applyAlignment="1" applyProtection="1">
      <alignment vertical="center"/>
      <protection/>
    </xf>
    <xf numFmtId="0" fontId="16" fillId="0" borderId="18" xfId="84" applyFont="1" applyFill="1" applyBorder="1" applyProtection="1">
      <alignment/>
      <protection locked="0"/>
    </xf>
    <xf numFmtId="3" fontId="16" fillId="0" borderId="70" xfId="84" applyNumberFormat="1" applyFont="1" applyFill="1" applyBorder="1">
      <alignment/>
      <protection/>
    </xf>
    <xf numFmtId="0" fontId="31" fillId="0" borderId="0" xfId="84" applyFont="1" applyFill="1">
      <alignment/>
      <protection/>
    </xf>
    <xf numFmtId="0" fontId="27" fillId="0" borderId="0" xfId="84" applyFont="1" applyFill="1">
      <alignment/>
      <protection/>
    </xf>
    <xf numFmtId="0" fontId="25" fillId="0" borderId="0" xfId="84" applyFont="1" applyFill="1">
      <alignment/>
      <protection/>
    </xf>
    <xf numFmtId="0" fontId="25" fillId="0" borderId="0" xfId="84" applyFont="1" applyFill="1" applyAlignment="1">
      <alignment/>
      <protection/>
    </xf>
    <xf numFmtId="0" fontId="30" fillId="0" borderId="0" xfId="84" applyFont="1" applyFill="1" applyAlignment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4" fillId="0" borderId="12" xfId="0" applyFont="1" applyBorder="1" applyAlignment="1" applyProtection="1">
      <alignment horizontal="left" vertical="top" wrapText="1"/>
      <protection locked="0"/>
    </xf>
    <xf numFmtId="9" fontId="34" fillId="0" borderId="12" xfId="92" applyFont="1" applyBorder="1" applyAlignment="1" applyProtection="1">
      <alignment horizontal="center" vertical="center" wrapText="1"/>
      <protection locked="0"/>
    </xf>
    <xf numFmtId="168" fontId="34" fillId="0" borderId="12" xfId="48" applyNumberFormat="1" applyFont="1" applyBorder="1" applyAlignment="1" applyProtection="1">
      <alignment horizontal="center" vertical="center" wrapText="1"/>
      <protection locked="0"/>
    </xf>
    <xf numFmtId="168" fontId="34" fillId="0" borderId="68" xfId="48" applyNumberFormat="1" applyFont="1" applyBorder="1" applyAlignment="1" applyProtection="1">
      <alignment horizontal="center" vertical="top" wrapText="1"/>
      <protection locked="0"/>
    </xf>
    <xf numFmtId="0" fontId="34" fillId="0" borderId="11" xfId="0" applyFont="1" applyBorder="1" applyAlignment="1" applyProtection="1">
      <alignment horizontal="left" vertical="top" wrapText="1"/>
      <protection locked="0"/>
    </xf>
    <xf numFmtId="9" fontId="34" fillId="0" borderId="11" xfId="92" applyFont="1" applyBorder="1" applyAlignment="1" applyProtection="1">
      <alignment horizontal="center" vertical="center" wrapText="1"/>
      <protection locked="0"/>
    </xf>
    <xf numFmtId="168" fontId="34" fillId="0" borderId="11" xfId="48" applyNumberFormat="1" applyFont="1" applyBorder="1" applyAlignment="1" applyProtection="1">
      <alignment horizontal="center" vertical="center" wrapText="1"/>
      <protection locked="0"/>
    </xf>
    <xf numFmtId="168" fontId="34" fillId="0" borderId="26" xfId="48" applyNumberFormat="1" applyFont="1" applyBorder="1" applyAlignment="1" applyProtection="1">
      <alignment horizontal="center" vertical="top" wrapText="1"/>
      <protection locked="0"/>
    </xf>
    <xf numFmtId="0" fontId="34" fillId="0" borderId="15" xfId="0" applyFont="1" applyBorder="1" applyAlignment="1" applyProtection="1">
      <alignment horizontal="left" vertical="top" wrapText="1"/>
      <protection locked="0"/>
    </xf>
    <xf numFmtId="9" fontId="34" fillId="0" borderId="15" xfId="92" applyFont="1" applyBorder="1" applyAlignment="1" applyProtection="1">
      <alignment horizontal="center" vertical="center" wrapText="1"/>
      <protection locked="0"/>
    </xf>
    <xf numFmtId="168" fontId="34" fillId="0" borderId="15" xfId="48" applyNumberFormat="1" applyFont="1" applyBorder="1" applyAlignment="1" applyProtection="1">
      <alignment horizontal="center" vertical="center" wrapText="1"/>
      <protection locked="0"/>
    </xf>
    <xf numFmtId="168" fontId="34" fillId="0" borderId="27" xfId="48" applyNumberFormat="1" applyFont="1" applyBorder="1" applyAlignment="1" applyProtection="1">
      <alignment horizontal="center" vertical="top" wrapText="1"/>
      <protection locked="0"/>
    </xf>
    <xf numFmtId="0" fontId="32" fillId="35" borderId="23" xfId="0" applyFont="1" applyFill="1" applyBorder="1" applyAlignment="1" applyProtection="1">
      <alignment horizontal="center" vertical="top" wrapText="1"/>
      <protection/>
    </xf>
    <xf numFmtId="168" fontId="34" fillId="0" borderId="23" xfId="48" applyNumberFormat="1" applyFont="1" applyBorder="1" applyAlignment="1" applyProtection="1">
      <alignment horizontal="center" vertical="center" wrapText="1"/>
      <protection/>
    </xf>
    <xf numFmtId="168" fontId="34" fillId="0" borderId="28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36" fillId="0" borderId="29" xfId="0" applyFont="1" applyFill="1" applyBorder="1" applyAlignment="1">
      <alignment horizontal="left" vertical="center" indent="5"/>
    </xf>
    <xf numFmtId="166" fontId="20" fillId="0" borderId="31" xfId="82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82" applyFont="1" applyFill="1" applyBorder="1" applyAlignment="1" applyProtection="1">
      <alignment horizontal="center" vertical="center" wrapText="1"/>
      <protection locked="0"/>
    </xf>
    <xf numFmtId="0" fontId="12" fillId="0" borderId="22" xfId="82" applyFont="1" applyFill="1" applyBorder="1" applyAlignment="1" applyProtection="1">
      <alignment horizontal="center" vertical="center" wrapText="1"/>
      <protection locked="0"/>
    </xf>
    <xf numFmtId="0" fontId="12" fillId="0" borderId="23" xfId="82" applyFont="1" applyFill="1" applyBorder="1" applyAlignment="1" applyProtection="1">
      <alignment horizontal="center" vertical="center" wrapText="1"/>
      <protection locked="0"/>
    </xf>
    <xf numFmtId="0" fontId="12" fillId="0" borderId="28" xfId="82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65" xfId="0" applyNumberFormat="1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/>
      <protection locked="0"/>
    </xf>
    <xf numFmtId="166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0" xfId="84" applyFill="1" applyAlignment="1">
      <alignment/>
      <protection/>
    </xf>
    <xf numFmtId="0" fontId="37" fillId="0" borderId="18" xfId="0" applyFont="1" applyBorder="1" applyAlignment="1" applyProtection="1">
      <alignment horizontal="center" vertical="top" wrapText="1"/>
      <protection/>
    </xf>
    <xf numFmtId="0" fontId="37" fillId="0" borderId="17" xfId="0" applyFont="1" applyBorder="1" applyAlignment="1" applyProtection="1">
      <alignment horizontal="center" vertical="top" wrapText="1"/>
      <protection/>
    </xf>
    <xf numFmtId="0" fontId="37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58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/>
    </xf>
    <xf numFmtId="0" fontId="102" fillId="0" borderId="0" xfId="0" applyFont="1" applyAlignment="1">
      <alignment/>
    </xf>
    <xf numFmtId="0" fontId="102" fillId="0" borderId="0" xfId="0" applyFont="1" applyAlignment="1">
      <alignment horizontal="justify" vertical="top" wrapText="1"/>
    </xf>
    <xf numFmtId="0" fontId="103" fillId="36" borderId="0" xfId="0" applyFont="1" applyFill="1" applyAlignment="1">
      <alignment horizontal="center" vertical="center"/>
    </xf>
    <xf numFmtId="0" fontId="103" fillId="36" borderId="0" xfId="0" applyFont="1" applyFill="1" applyAlignment="1">
      <alignment horizontal="center" vertical="top" wrapText="1"/>
    </xf>
    <xf numFmtId="0" fontId="38" fillId="0" borderId="0" xfId="0" applyFont="1" applyAlignment="1">
      <alignment/>
    </xf>
    <xf numFmtId="0" fontId="91" fillId="0" borderId="0" xfId="61" applyAlignment="1" applyProtection="1">
      <alignment/>
      <protection/>
    </xf>
    <xf numFmtId="166" fontId="104" fillId="0" borderId="0" xfId="0" applyNumberFormat="1" applyFont="1" applyFill="1" applyAlignment="1" applyProtection="1">
      <alignment horizontal="right" vertical="center" wrapText="1" indent="1"/>
      <protection/>
    </xf>
    <xf numFmtId="166" fontId="105" fillId="0" borderId="0" xfId="82" applyNumberFormat="1" applyFont="1" applyFill="1" applyProtection="1">
      <alignment/>
      <protection/>
    </xf>
    <xf numFmtId="166" fontId="105" fillId="0" borderId="0" xfId="82" applyNumberFormat="1" applyFont="1" applyFill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68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Alignment="1" applyProtection="1">
      <alignment horizontal="center" vertical="center"/>
      <protection locked="0"/>
    </xf>
    <xf numFmtId="166" fontId="0" fillId="0" borderId="0" xfId="69" applyNumberFormat="1" applyAlignment="1">
      <alignment vertical="center" wrapText="1"/>
      <protection/>
    </xf>
    <xf numFmtId="166" fontId="12" fillId="0" borderId="43" xfId="69" applyNumberFormat="1" applyFont="1" applyBorder="1" applyAlignment="1">
      <alignment horizontal="center" vertical="center" wrapText="1"/>
      <protection/>
    </xf>
    <xf numFmtId="3" fontId="13" fillId="0" borderId="66" xfId="69" applyNumberFormat="1" applyFont="1" applyBorder="1" applyAlignment="1" applyProtection="1">
      <alignment horizontal="right" vertical="center" wrapText="1"/>
      <protection locked="0"/>
    </xf>
    <xf numFmtId="3" fontId="13" fillId="0" borderId="40" xfId="69" applyNumberFormat="1" applyFont="1" applyBorder="1" applyAlignment="1" applyProtection="1">
      <alignment horizontal="right" vertical="center" wrapText="1"/>
      <protection locked="0"/>
    </xf>
    <xf numFmtId="3" fontId="13" fillId="0" borderId="72" xfId="69" applyNumberFormat="1" applyFont="1" applyBorder="1" applyAlignment="1" applyProtection="1">
      <alignment horizontal="right" vertical="center" wrapText="1"/>
      <protection locked="0"/>
    </xf>
    <xf numFmtId="3" fontId="13" fillId="0" borderId="73" xfId="69" applyNumberFormat="1" applyFont="1" applyBorder="1" applyAlignment="1" applyProtection="1">
      <alignment horizontal="right" vertical="center" wrapText="1"/>
      <protection locked="0"/>
    </xf>
    <xf numFmtId="166" fontId="12" fillId="0" borderId="43" xfId="69" applyNumberFormat="1" applyFont="1" applyBorder="1" applyAlignment="1">
      <alignment horizontal="right" vertical="center" wrapText="1"/>
      <protection/>
    </xf>
    <xf numFmtId="166" fontId="8" fillId="0" borderId="0" xfId="69" applyNumberFormat="1" applyFont="1" applyAlignment="1" applyProtection="1">
      <alignment vertical="center" wrapText="1"/>
      <protection locked="0"/>
    </xf>
    <xf numFmtId="166" fontId="12" fillId="0" borderId="43" xfId="69" applyNumberFormat="1" applyFont="1" applyBorder="1" applyAlignment="1">
      <alignment horizontal="center" vertical="center" wrapText="1"/>
      <protection/>
    </xf>
    <xf numFmtId="166" fontId="6" fillId="0" borderId="43" xfId="69" applyNumberFormat="1" applyFont="1" applyBorder="1" applyAlignment="1">
      <alignment horizontal="center" vertical="center" wrapText="1"/>
      <protection/>
    </xf>
    <xf numFmtId="166" fontId="42" fillId="0" borderId="74" xfId="69" applyNumberFormat="1" applyFont="1" applyBorder="1" applyAlignment="1">
      <alignment horizontal="center" vertical="center"/>
      <protection/>
    </xf>
    <xf numFmtId="166" fontId="42" fillId="0" borderId="43" xfId="69" applyNumberFormat="1" applyFont="1" applyBorder="1" applyAlignment="1">
      <alignment horizontal="center" vertical="center"/>
      <protection/>
    </xf>
    <xf numFmtId="166" fontId="42" fillId="0" borderId="75" xfId="69" applyNumberFormat="1" applyFont="1" applyBorder="1" applyAlignment="1">
      <alignment horizontal="center" vertical="center"/>
      <protection/>
    </xf>
    <xf numFmtId="166" fontId="42" fillId="0" borderId="43" xfId="69" applyNumberFormat="1" applyFont="1" applyBorder="1" applyAlignment="1">
      <alignment horizontal="center" vertical="center" wrapText="1"/>
      <protection/>
    </xf>
    <xf numFmtId="166" fontId="42" fillId="0" borderId="75" xfId="69" applyNumberFormat="1" applyFont="1" applyBorder="1" applyAlignment="1">
      <alignment horizontal="center" vertical="center" wrapText="1"/>
      <protection/>
    </xf>
    <xf numFmtId="49" fontId="13" fillId="0" borderId="76" xfId="69" applyNumberFormat="1" applyFont="1" applyBorder="1" applyAlignment="1">
      <alignment horizontal="left" vertical="center"/>
      <protection/>
    </xf>
    <xf numFmtId="49" fontId="18" fillId="0" borderId="77" xfId="69" applyNumberFormat="1" applyFont="1" applyBorder="1" applyAlignment="1" quotePrefix="1">
      <alignment horizontal="left" vertical="center"/>
      <protection/>
    </xf>
    <xf numFmtId="49" fontId="13" fillId="0" borderId="77" xfId="69" applyNumberFormat="1" applyFont="1" applyBorder="1" applyAlignment="1">
      <alignment horizontal="left" vertical="center"/>
      <protection/>
    </xf>
    <xf numFmtId="49" fontId="12" fillId="0" borderId="59" xfId="69" applyNumberFormat="1" applyFont="1" applyBorder="1" applyAlignment="1" applyProtection="1">
      <alignment horizontal="left" vertical="center"/>
      <protection locked="0"/>
    </xf>
    <xf numFmtId="49" fontId="13" fillId="0" borderId="18" xfId="69" applyNumberFormat="1" applyFont="1" applyBorder="1" applyAlignment="1">
      <alignment horizontal="left" vertical="center"/>
      <protection/>
    </xf>
    <xf numFmtId="49" fontId="13" fillId="0" borderId="17" xfId="69" applyNumberFormat="1" applyFont="1" applyBorder="1" applyAlignment="1">
      <alignment horizontal="left" vertical="center"/>
      <protection/>
    </xf>
    <xf numFmtId="49" fontId="13" fillId="0" borderId="19" xfId="69" applyNumberFormat="1" applyFont="1" applyBorder="1" applyAlignment="1" applyProtection="1">
      <alignment horizontal="left" vertical="center"/>
      <protection locked="0"/>
    </xf>
    <xf numFmtId="175" fontId="12" fillId="0" borderId="43" xfId="69" applyNumberFormat="1" applyFont="1" applyBorder="1" applyAlignment="1">
      <alignment horizontal="left" vertical="center" wrapText="1"/>
      <protection/>
    </xf>
    <xf numFmtId="175" fontId="26" fillId="0" borderId="0" xfId="69" applyNumberFormat="1" applyFont="1" applyAlignment="1" applyProtection="1">
      <alignment horizontal="left" vertical="center" wrapText="1"/>
      <protection locked="0"/>
    </xf>
    <xf numFmtId="0" fontId="106" fillId="0" borderId="0" xfId="0" applyFont="1" applyAlignment="1">
      <alignment/>
    </xf>
    <xf numFmtId="166" fontId="3" fillId="0" borderId="0" xfId="69" applyNumberFormat="1" applyFont="1" applyBorder="1" applyAlignment="1">
      <alignment horizontal="left" vertical="center" wrapText="1"/>
      <protection/>
    </xf>
    <xf numFmtId="166" fontId="12" fillId="0" borderId="0" xfId="69" applyNumberFormat="1" applyFont="1" applyBorder="1" applyAlignment="1">
      <alignment horizontal="right" vertical="center" wrapText="1"/>
      <protection/>
    </xf>
    <xf numFmtId="166" fontId="13" fillId="0" borderId="78" xfId="69" applyNumberFormat="1" applyFont="1" applyBorder="1" applyAlignment="1" applyProtection="1">
      <alignment horizontal="right" vertical="center" indent="1"/>
      <protection locked="0"/>
    </xf>
    <xf numFmtId="166" fontId="13" fillId="0" borderId="78" xfId="69" applyNumberFormat="1" applyFont="1" applyBorder="1" applyAlignment="1" applyProtection="1">
      <alignment horizontal="right" vertical="center" wrapText="1" indent="1"/>
      <protection locked="0"/>
    </xf>
    <xf numFmtId="166" fontId="13" fillId="0" borderId="66" xfId="69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9" applyNumberFormat="1" applyFont="1" applyBorder="1" applyAlignment="1">
      <alignment horizontal="right" vertical="center" wrapText="1" indent="1"/>
      <protection/>
    </xf>
    <xf numFmtId="166" fontId="18" fillId="0" borderId="41" xfId="69" applyNumberFormat="1" applyFont="1" applyBorder="1" applyAlignment="1" applyProtection="1">
      <alignment horizontal="right" vertical="center" wrapText="1" indent="1"/>
      <protection locked="0"/>
    </xf>
    <xf numFmtId="166" fontId="13" fillId="0" borderId="41" xfId="69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9" applyNumberFormat="1" applyFont="1" applyBorder="1" applyAlignment="1">
      <alignment horizontal="right" vertical="center" wrapText="1" indent="1"/>
      <protection/>
    </xf>
    <xf numFmtId="166" fontId="12" fillId="0" borderId="43" xfId="69" applyNumberFormat="1" applyFont="1" applyBorder="1" applyAlignment="1">
      <alignment horizontal="right" vertical="center" indent="1"/>
      <protection/>
    </xf>
    <xf numFmtId="166" fontId="12" fillId="0" borderId="43" xfId="69" applyNumberFormat="1" applyFont="1" applyBorder="1" applyAlignment="1">
      <alignment horizontal="right" vertical="center" wrapText="1" indent="1"/>
      <protection/>
    </xf>
    <xf numFmtId="166" fontId="13" fillId="0" borderId="73" xfId="69" applyNumberFormat="1" applyFont="1" applyBorder="1" applyAlignment="1" applyProtection="1">
      <alignment horizontal="right" vertical="center" wrapText="1" indent="1"/>
      <protection locked="0"/>
    </xf>
    <xf numFmtId="166" fontId="12" fillId="0" borderId="72" xfId="69" applyNumberFormat="1" applyFont="1" applyBorder="1" applyAlignment="1">
      <alignment horizontal="right" vertical="center" wrapText="1" indent="1"/>
      <protection/>
    </xf>
    <xf numFmtId="166" fontId="12" fillId="0" borderId="78" xfId="69" applyNumberFormat="1" applyFont="1" applyBorder="1" applyAlignment="1" applyProtection="1">
      <alignment horizontal="right" vertical="center" wrapText="1" indent="1"/>
      <protection locked="0"/>
    </xf>
    <xf numFmtId="166" fontId="35" fillId="0" borderId="41" xfId="69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9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69" applyNumberFormat="1" applyFont="1" applyBorder="1" applyAlignment="1" applyProtection="1">
      <alignment horizontal="right" vertical="center" indent="1"/>
      <protection/>
    </xf>
    <xf numFmtId="166" fontId="18" fillId="0" borderId="41" xfId="69" applyNumberFormat="1" applyFont="1" applyBorder="1" applyAlignment="1" applyProtection="1">
      <alignment horizontal="right" vertical="center" indent="1"/>
      <protection/>
    </xf>
    <xf numFmtId="166" fontId="13" fillId="0" borderId="41" xfId="69" applyNumberFormat="1" applyFont="1" applyBorder="1" applyAlignment="1" applyProtection="1">
      <alignment horizontal="right" vertical="center" indent="1"/>
      <protection/>
    </xf>
    <xf numFmtId="166" fontId="12" fillId="0" borderId="43" xfId="69" applyNumberFormat="1" applyFont="1" applyBorder="1" applyAlignment="1" applyProtection="1">
      <alignment horizontal="right" vertical="center" indent="1"/>
      <protection/>
    </xf>
    <xf numFmtId="166" fontId="13" fillId="0" borderId="73" xfId="69" applyNumberFormat="1" applyFont="1" applyBorder="1" applyAlignment="1" applyProtection="1">
      <alignment horizontal="right" vertical="center" indent="1"/>
      <protection/>
    </xf>
    <xf numFmtId="3" fontId="16" fillId="0" borderId="70" xfId="84" applyNumberFormat="1" applyFont="1" applyFill="1" applyBorder="1" applyProtection="1">
      <alignment/>
      <protection locked="0"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0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79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8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82" applyFont="1" applyFill="1" applyBorder="1" applyAlignment="1" applyProtection="1">
      <alignment horizontal="left" vertical="center" wrapText="1" indent="1"/>
      <protection/>
    </xf>
    <xf numFmtId="0" fontId="13" fillId="0" borderId="23" xfId="82" applyFont="1" applyFill="1" applyBorder="1" applyAlignment="1" applyProtection="1">
      <alignment horizontal="left" vertical="center" wrapText="1"/>
      <protection/>
    </xf>
    <xf numFmtId="166" fontId="13" fillId="0" borderId="23" xfId="8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8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wrapText="1" indent="1"/>
      <protection locked="0"/>
    </xf>
    <xf numFmtId="166" fontId="13" fillId="0" borderId="36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35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82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0" applyNumberFormat="1" applyFont="1" applyBorder="1" applyAlignment="1" applyProtection="1">
      <alignment horizontal="left" vertical="center" wrapText="1" indent="1"/>
      <protection locked="0"/>
    </xf>
    <xf numFmtId="0" fontId="107" fillId="0" borderId="14" xfId="0" applyFont="1" applyBorder="1" applyAlignment="1">
      <alignment horizontal="left" wrapText="1"/>
    </xf>
    <xf numFmtId="3" fontId="13" fillId="0" borderId="13" xfId="82" applyNumberFormat="1" applyFont="1" applyBorder="1" applyAlignment="1" applyProtection="1">
      <alignment horizontal="right" vertical="center" wrapText="1" indent="1"/>
      <protection locked="0"/>
    </xf>
    <xf numFmtId="3" fontId="13" fillId="0" borderId="11" xfId="82" applyNumberFormat="1" applyFont="1" applyBorder="1" applyAlignment="1" applyProtection="1">
      <alignment horizontal="right" vertical="center" wrapText="1" indent="1"/>
      <protection locked="0"/>
    </xf>
    <xf numFmtId="3" fontId="13" fillId="0" borderId="15" xfId="82" applyNumberFormat="1" applyFont="1" applyBorder="1" applyAlignment="1" applyProtection="1">
      <alignment horizontal="right" vertical="center" wrapText="1" indent="1"/>
      <protection locked="0"/>
    </xf>
    <xf numFmtId="0" fontId="13" fillId="0" borderId="11" xfId="82" applyFont="1" applyBorder="1" applyAlignment="1">
      <alignment horizontal="left" vertical="center" wrapText="1" indent="1"/>
      <protection/>
    </xf>
    <xf numFmtId="0" fontId="13" fillId="0" borderId="12" xfId="82" applyFont="1" applyBorder="1" applyAlignment="1">
      <alignment horizontal="left" vertical="center" wrapText="1" indent="1"/>
      <protection/>
    </xf>
    <xf numFmtId="0" fontId="16" fillId="0" borderId="11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wrapText="1" indent="1"/>
    </xf>
    <xf numFmtId="0" fontId="13" fillId="0" borderId="11" xfId="82" applyFont="1" applyBorder="1" applyAlignment="1">
      <alignment horizontal="left" vertical="center" wrapText="1" indent="1"/>
      <protection/>
    </xf>
    <xf numFmtId="166" fontId="13" fillId="0" borderId="13" xfId="82" applyNumberFormat="1" applyFont="1" applyBorder="1" applyAlignment="1" applyProtection="1">
      <alignment horizontal="right" vertical="center" wrapText="1" inden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3" fontId="13" fillId="0" borderId="26" xfId="0" applyNumberFormat="1" applyFont="1" applyBorder="1" applyAlignment="1" applyProtection="1">
      <alignment horizontal="right" vertical="center" indent="1"/>
      <protection locked="0"/>
    </xf>
    <xf numFmtId="0" fontId="12" fillId="0" borderId="11" xfId="82" applyFont="1" applyBorder="1" applyAlignment="1">
      <alignment horizontal="left" vertical="center" wrapText="1" indent="1"/>
      <protection/>
    </xf>
    <xf numFmtId="166" fontId="13" fillId="0" borderId="11" xfId="0" applyNumberFormat="1" applyFont="1" applyBorder="1" applyAlignment="1">
      <alignment vertical="center" wrapText="1"/>
    </xf>
    <xf numFmtId="0" fontId="16" fillId="0" borderId="11" xfId="82" applyFont="1" applyBorder="1" applyAlignment="1">
      <alignment horizontal="left" vertical="center" wrapText="1" indent="1"/>
      <protection/>
    </xf>
    <xf numFmtId="0" fontId="17" fillId="0" borderId="11" xfId="82" applyFont="1" applyBorder="1" applyAlignment="1">
      <alignment horizontal="left" vertical="center" wrapText="1" indent="1"/>
      <protection/>
    </xf>
    <xf numFmtId="0" fontId="17" fillId="0" borderId="11" xfId="82" applyFont="1" applyBorder="1" applyAlignment="1">
      <alignment horizontal="left" indent="1"/>
      <protection/>
    </xf>
    <xf numFmtId="0" fontId="17" fillId="0" borderId="11" xfId="0" applyFont="1" applyBorder="1" applyAlignment="1">
      <alignment horizontal="left" vertical="center" wrapText="1" indent="1"/>
    </xf>
    <xf numFmtId="0" fontId="13" fillId="38" borderId="11" xfId="82" applyFont="1" applyFill="1" applyBorder="1" applyAlignment="1">
      <alignment horizontal="left" vertical="center" wrapText="1" indent="1"/>
      <protection/>
    </xf>
    <xf numFmtId="0" fontId="16" fillId="0" borderId="11" xfId="82" applyFont="1" applyBorder="1" applyAlignment="1">
      <alignment horizontal="left" indent="1"/>
      <protection/>
    </xf>
    <xf numFmtId="0" fontId="13" fillId="0" borderId="12" xfId="0" applyFont="1" applyBorder="1" applyAlignment="1" applyProtection="1">
      <alignment horizontal="lef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indent="1"/>
      <protection locked="0"/>
    </xf>
    <xf numFmtId="3" fontId="13" fillId="0" borderId="35" xfId="0" applyNumberFormat="1" applyFont="1" applyBorder="1" applyAlignment="1" applyProtection="1">
      <alignment horizontal="right" vertical="center" indent="1"/>
      <protection locked="0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3" fontId="45" fillId="0" borderId="11" xfId="0" applyNumberFormat="1" applyFont="1" applyBorder="1" applyAlignment="1">
      <alignment horizontal="right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3" fontId="43" fillId="0" borderId="11" xfId="0" applyNumberFormat="1" applyFont="1" applyBorder="1" applyAlignment="1">
      <alignment horizontal="right" vertical="top" wrapText="1"/>
    </xf>
    <xf numFmtId="0" fontId="44" fillId="6" borderId="11" xfId="0" applyFont="1" applyFill="1" applyBorder="1" applyAlignment="1">
      <alignment horizontal="center" vertical="top" wrapText="1"/>
    </xf>
    <xf numFmtId="0" fontId="13" fillId="0" borderId="39" xfId="0" applyFont="1" applyBorder="1" applyAlignment="1">
      <alignment horizontal="right" vertical="center" indent="1"/>
    </xf>
    <xf numFmtId="0" fontId="26" fillId="14" borderId="22" xfId="82" applyFont="1" applyFill="1" applyBorder="1" applyAlignment="1">
      <alignment horizontal="left" vertical="center" wrapText="1" indent="1"/>
      <protection/>
    </xf>
    <xf numFmtId="3" fontId="12" fillId="14" borderId="23" xfId="0" applyNumberFormat="1" applyFont="1" applyFill="1" applyBorder="1" applyAlignment="1" applyProtection="1">
      <alignment horizontal="right" vertical="center" indent="1"/>
      <protection locked="0"/>
    </xf>
    <xf numFmtId="3" fontId="12" fillId="14" borderId="28" xfId="0" applyNumberFormat="1" applyFont="1" applyFill="1" applyBorder="1" applyAlignment="1" applyProtection="1">
      <alignment horizontal="right" vertical="center" indent="1"/>
      <protection locked="0"/>
    </xf>
    <xf numFmtId="3" fontId="13" fillId="0" borderId="68" xfId="0" applyNumberFormat="1" applyFont="1" applyBorder="1" applyAlignment="1" applyProtection="1">
      <alignment horizontal="right" vertical="center" indent="1"/>
      <protection locked="0"/>
    </xf>
    <xf numFmtId="3" fontId="13" fillId="38" borderId="68" xfId="0" applyNumberFormat="1" applyFont="1" applyFill="1" applyBorder="1" applyAlignment="1" applyProtection="1">
      <alignment horizontal="right" vertical="center" indent="1"/>
      <protection locked="0"/>
    </xf>
    <xf numFmtId="3" fontId="13" fillId="38" borderId="26" xfId="0" applyNumberFormat="1" applyFont="1" applyFill="1" applyBorder="1" applyAlignment="1" applyProtection="1">
      <alignment horizontal="right" vertical="center" indent="1"/>
      <protection locked="0"/>
    </xf>
    <xf numFmtId="3" fontId="12" fillId="38" borderId="26" xfId="0" applyNumberFormat="1" applyFont="1" applyFill="1" applyBorder="1" applyAlignment="1" applyProtection="1">
      <alignment horizontal="right" vertical="center" indent="1"/>
      <protection locked="0"/>
    </xf>
    <xf numFmtId="3" fontId="13" fillId="0" borderId="27" xfId="0" applyNumberFormat="1" applyFont="1" applyBorder="1" applyAlignment="1" applyProtection="1">
      <alignment horizontal="right" vertical="center" indent="1"/>
      <protection locked="0"/>
    </xf>
    <xf numFmtId="3" fontId="13" fillId="38" borderId="27" xfId="0" applyNumberFormat="1" applyFont="1" applyFill="1" applyBorder="1" applyAlignment="1" applyProtection="1">
      <alignment horizontal="right" vertical="center" indent="1"/>
      <protection locked="0"/>
    </xf>
    <xf numFmtId="3" fontId="13" fillId="0" borderId="41" xfId="0" applyNumberFormat="1" applyFont="1" applyBorder="1" applyAlignment="1" applyProtection="1">
      <alignment horizontal="right" vertical="center" indent="1"/>
      <protection locked="0"/>
    </xf>
    <xf numFmtId="0" fontId="16" fillId="0" borderId="10" xfId="82" applyFont="1" applyBorder="1" applyAlignment="1">
      <alignment horizontal="left" vertical="center" wrapText="1" indent="1"/>
      <protection/>
    </xf>
    <xf numFmtId="3" fontId="13" fillId="0" borderId="80" xfId="0" applyNumberFormat="1" applyFont="1" applyBorder="1" applyAlignment="1" applyProtection="1">
      <alignment horizontal="right" vertical="center" indent="1"/>
      <protection locked="0"/>
    </xf>
    <xf numFmtId="3" fontId="13" fillId="0" borderId="73" xfId="0" applyNumberFormat="1" applyFont="1" applyBorder="1" applyAlignment="1" applyProtection="1">
      <alignment horizontal="right" vertical="center" indent="1"/>
      <protection locked="0"/>
    </xf>
    <xf numFmtId="0" fontId="26" fillId="14" borderId="23" xfId="82" applyFont="1" applyFill="1" applyBorder="1" applyAlignment="1">
      <alignment horizontal="left" indent="1"/>
      <protection/>
    </xf>
    <xf numFmtId="0" fontId="17" fillId="0" borderId="12" xfId="82" applyFont="1" applyBorder="1" applyAlignment="1">
      <alignment horizontal="left" vertical="center" wrapText="1" indent="1"/>
      <protection/>
    </xf>
    <xf numFmtId="0" fontId="16" fillId="0" borderId="15" xfId="82" applyFont="1" applyBorder="1" applyAlignment="1">
      <alignment horizontal="left" indent="1"/>
      <protection/>
    </xf>
    <xf numFmtId="3" fontId="13" fillId="0" borderId="46" xfId="0" applyNumberFormat="1" applyFont="1" applyBorder="1" applyAlignment="1" applyProtection="1">
      <alignment horizontal="right" vertical="center" indent="1"/>
      <protection locked="0"/>
    </xf>
    <xf numFmtId="3" fontId="13" fillId="0" borderId="75" xfId="0" applyNumberFormat="1" applyFont="1" applyBorder="1" applyAlignment="1" applyProtection="1">
      <alignment horizontal="right" vertical="center" indent="1"/>
      <protection locked="0"/>
    </xf>
    <xf numFmtId="0" fontId="16" fillId="14" borderId="23" xfId="82" applyFont="1" applyFill="1" applyBorder="1" applyAlignment="1">
      <alignment horizontal="left" vertical="center" wrapText="1" indent="1"/>
      <protection/>
    </xf>
    <xf numFmtId="0" fontId="16" fillId="0" borderId="15" xfId="82" applyFont="1" applyBorder="1" applyAlignment="1">
      <alignment horizontal="left" vertical="center" wrapText="1" indent="1"/>
      <protection/>
    </xf>
    <xf numFmtId="0" fontId="16" fillId="0" borderId="12" xfId="0" applyFont="1" applyBorder="1" applyAlignment="1">
      <alignment horizontal="left" vertical="center" wrapText="1" indent="1"/>
    </xf>
    <xf numFmtId="0" fontId="16" fillId="0" borderId="14" xfId="82" applyFont="1" applyBorder="1" applyAlignment="1">
      <alignment horizontal="left" vertical="center" wrapText="1" indent="1"/>
      <protection/>
    </xf>
    <xf numFmtId="0" fontId="16" fillId="0" borderId="55" xfId="82" applyFont="1" applyBorder="1" applyAlignment="1">
      <alignment horizontal="left" vertical="center" wrapText="1" indent="1"/>
      <protection/>
    </xf>
    <xf numFmtId="3" fontId="13" fillId="0" borderId="60" xfId="0" applyNumberFormat="1" applyFont="1" applyBorder="1" applyAlignment="1" applyProtection="1">
      <alignment horizontal="right" vertical="center" indent="1"/>
      <protection locked="0"/>
    </xf>
    <xf numFmtId="3" fontId="13" fillId="0" borderId="52" xfId="0" applyNumberFormat="1" applyFont="1" applyBorder="1" applyAlignment="1" applyProtection="1">
      <alignment horizontal="right" vertical="center" indent="1"/>
      <protection locked="0"/>
    </xf>
    <xf numFmtId="3" fontId="12" fillId="0" borderId="43" xfId="0" applyNumberFormat="1" applyFont="1" applyBorder="1" applyAlignment="1">
      <alignment horizontal="right" vertical="center" indent="1"/>
    </xf>
    <xf numFmtId="0" fontId="43" fillId="0" borderId="0" xfId="0" applyFont="1" applyAlignment="1">
      <alignment horizontal="center" vertical="top" wrapText="1"/>
    </xf>
    <xf numFmtId="0" fontId="44" fillId="14" borderId="11" xfId="0" applyFont="1" applyFill="1" applyBorder="1" applyAlignment="1">
      <alignment horizontal="center" vertical="top" wrapText="1"/>
    </xf>
    <xf numFmtId="179" fontId="0" fillId="0" borderId="0" xfId="0" applyNumberFormat="1" applyFill="1" applyAlignment="1">
      <alignment/>
    </xf>
    <xf numFmtId="0" fontId="43" fillId="0" borderId="17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left" vertical="top" wrapText="1"/>
    </xf>
    <xf numFmtId="3" fontId="43" fillId="0" borderId="41" xfId="0" applyNumberFormat="1" applyFont="1" applyBorder="1" applyAlignment="1">
      <alignment horizontal="right" vertical="top" wrapText="1"/>
    </xf>
    <xf numFmtId="0" fontId="45" fillId="0" borderId="26" xfId="0" applyFont="1" applyBorder="1" applyAlignment="1">
      <alignment horizontal="left" vertical="top" wrapText="1"/>
    </xf>
    <xf numFmtId="3" fontId="45" fillId="0" borderId="41" xfId="0" applyNumberFormat="1" applyFont="1" applyBorder="1" applyAlignment="1">
      <alignment horizontal="right" vertical="top" wrapText="1"/>
    </xf>
    <xf numFmtId="0" fontId="43" fillId="0" borderId="26" xfId="0" applyFont="1" applyBorder="1" applyAlignment="1">
      <alignment vertical="top"/>
    </xf>
    <xf numFmtId="0" fontId="43" fillId="0" borderId="21" xfId="0" applyFont="1" applyBorder="1" applyAlignment="1">
      <alignment horizontal="center" vertical="top" wrapText="1"/>
    </xf>
    <xf numFmtId="0" fontId="45" fillId="5" borderId="58" xfId="0" applyFont="1" applyFill="1" applyBorder="1" applyAlignment="1">
      <alignment horizontal="left" vertical="top" wrapText="1"/>
    </xf>
    <xf numFmtId="3" fontId="45" fillId="5" borderId="72" xfId="0" applyNumberFormat="1" applyFont="1" applyFill="1" applyBorder="1" applyAlignment="1">
      <alignment horizontal="right" vertical="top" wrapText="1"/>
    </xf>
    <xf numFmtId="3" fontId="43" fillId="0" borderId="11" xfId="0" applyNumberFormat="1" applyFont="1" applyBorder="1" applyAlignment="1">
      <alignment/>
    </xf>
    <xf numFmtId="3" fontId="4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3" fontId="43" fillId="0" borderId="15" xfId="0" applyNumberFormat="1" applyFont="1" applyBorder="1" applyAlignment="1">
      <alignment horizontal="right" vertical="top" wrapText="1"/>
    </xf>
    <xf numFmtId="3" fontId="43" fillId="0" borderId="11" xfId="73" applyNumberFormat="1" applyFont="1" applyBorder="1" applyAlignment="1">
      <alignment horizontal="right" vertical="top" wrapText="1"/>
      <protection/>
    </xf>
    <xf numFmtId="3" fontId="43" fillId="0" borderId="11" xfId="73" applyNumberFormat="1" applyFont="1" applyBorder="1">
      <alignment/>
      <protection/>
    </xf>
    <xf numFmtId="3" fontId="43" fillId="0" borderId="41" xfId="73" applyNumberFormat="1" applyFont="1" applyBorder="1" applyAlignment="1">
      <alignment horizontal="right" vertical="top" wrapText="1"/>
      <protection/>
    </xf>
    <xf numFmtId="3" fontId="45" fillId="0" borderId="41" xfId="73" applyNumberFormat="1" applyFont="1" applyBorder="1" applyAlignment="1">
      <alignment horizontal="right" vertical="top" wrapText="1"/>
      <protection/>
    </xf>
    <xf numFmtId="3" fontId="45" fillId="5" borderId="72" xfId="73" applyNumberFormat="1" applyFont="1" applyFill="1" applyBorder="1" applyAlignment="1">
      <alignment horizontal="right" vertical="top" wrapText="1"/>
      <protection/>
    </xf>
    <xf numFmtId="3" fontId="43" fillId="0" borderId="15" xfId="73" applyNumberFormat="1" applyFont="1" applyBorder="1" applyAlignment="1">
      <alignment horizontal="right" vertical="top" wrapText="1"/>
      <protection/>
    </xf>
    <xf numFmtId="3" fontId="45" fillId="5" borderId="29" xfId="73" applyNumberFormat="1" applyFont="1" applyFill="1" applyBorder="1" applyAlignment="1">
      <alignment horizontal="right" vertical="top" wrapText="1"/>
      <protection/>
    </xf>
    <xf numFmtId="3" fontId="43" fillId="0" borderId="12" xfId="73" applyNumberFormat="1" applyFont="1" applyBorder="1">
      <alignment/>
      <protection/>
    </xf>
    <xf numFmtId="49" fontId="13" fillId="0" borderId="17" xfId="82" applyNumberFormat="1" applyFont="1" applyBorder="1" applyAlignment="1">
      <alignment horizontal="left" vertical="center" wrapText="1" indent="1"/>
      <protection/>
    </xf>
    <xf numFmtId="49" fontId="13" fillId="0" borderId="21" xfId="82" applyNumberFormat="1" applyFont="1" applyBorder="1" applyAlignment="1">
      <alignment horizontal="left" vertical="center" wrapText="1" indent="1"/>
      <protection/>
    </xf>
    <xf numFmtId="0" fontId="43" fillId="0" borderId="11" xfId="73" applyFont="1" applyBorder="1" applyAlignment="1">
      <alignment horizontal="left" vertical="top" wrapText="1"/>
      <protection/>
    </xf>
    <xf numFmtId="0" fontId="43" fillId="0" borderId="11" xfId="73" applyFont="1" applyBorder="1" applyAlignment="1">
      <alignment vertical="top"/>
      <protection/>
    </xf>
    <xf numFmtId="166" fontId="13" fillId="0" borderId="11" xfId="82" applyNumberFormat="1" applyFont="1" applyBorder="1" applyAlignment="1" applyProtection="1">
      <alignment horizontal="right" vertical="center" wrapText="1"/>
      <protection locked="0"/>
    </xf>
    <xf numFmtId="49" fontId="12" fillId="8" borderId="17" xfId="82" applyNumberFormat="1" applyFont="1" applyFill="1" applyBorder="1" applyAlignment="1">
      <alignment horizontal="left" vertical="center" wrapText="1" indent="1"/>
      <protection/>
    </xf>
    <xf numFmtId="0" fontId="12" fillId="8" borderId="39" xfId="82" applyFont="1" applyFill="1" applyBorder="1" applyAlignment="1">
      <alignment horizontal="left" vertical="center" wrapText="1" indent="1"/>
      <protection/>
    </xf>
    <xf numFmtId="49" fontId="12" fillId="39" borderId="17" xfId="82" applyNumberFormat="1" applyFont="1" applyFill="1" applyBorder="1" applyAlignment="1">
      <alignment horizontal="left" vertical="center" wrapText="1" indent="1"/>
      <protection/>
    </xf>
    <xf numFmtId="0" fontId="12" fillId="39" borderId="39" xfId="82" applyFont="1" applyFill="1" applyBorder="1" applyAlignment="1">
      <alignment horizontal="left" vertical="center" wrapText="1" indent="1"/>
      <protection/>
    </xf>
    <xf numFmtId="0" fontId="13" fillId="38" borderId="39" xfId="82" applyFont="1" applyFill="1" applyBorder="1" applyAlignment="1">
      <alignment horizontal="left" vertical="center" wrapText="1" indent="1"/>
      <protection/>
    </xf>
    <xf numFmtId="0" fontId="13" fillId="0" borderId="39" xfId="82" applyFont="1" applyBorder="1" applyAlignment="1">
      <alignment horizontal="left" vertical="center" wrapText="1" indent="1"/>
      <protection/>
    </xf>
    <xf numFmtId="49" fontId="12" fillId="14" borderId="17" xfId="82" applyNumberFormat="1" applyFont="1" applyFill="1" applyBorder="1" applyAlignment="1">
      <alignment horizontal="left" vertical="center" wrapText="1" indent="1"/>
      <protection/>
    </xf>
    <xf numFmtId="0" fontId="13" fillId="0" borderId="39" xfId="82" applyFont="1" applyBorder="1" applyAlignment="1">
      <alignment horizontal="left" vertical="center" wrapText="1" indent="1"/>
      <protection/>
    </xf>
    <xf numFmtId="49" fontId="12" fillId="0" borderId="17" xfId="82" applyNumberFormat="1" applyFont="1" applyBorder="1" applyAlignment="1">
      <alignment horizontal="left" vertical="center" wrapText="1" indent="1"/>
      <protection/>
    </xf>
    <xf numFmtId="49" fontId="18" fillId="0" borderId="17" xfId="82" applyNumberFormat="1" applyFont="1" applyBorder="1" applyAlignment="1">
      <alignment horizontal="left" vertical="center" wrapText="1" indent="1"/>
      <protection/>
    </xf>
    <xf numFmtId="0" fontId="35" fillId="40" borderId="39" xfId="82" applyFont="1" applyFill="1" applyBorder="1" applyAlignment="1">
      <alignment horizontal="left" vertical="center" wrapText="1" indent="1"/>
      <protection/>
    </xf>
    <xf numFmtId="0" fontId="12" fillId="0" borderId="39" xfId="82" applyFont="1" applyBorder="1" applyAlignment="1">
      <alignment horizontal="left" vertical="center" wrapText="1" indent="1"/>
      <protection/>
    </xf>
    <xf numFmtId="49" fontId="13" fillId="0" borderId="17" xfId="82" applyNumberFormat="1" applyFont="1" applyBorder="1" applyAlignment="1">
      <alignment horizontal="left" vertical="center" wrapText="1" indent="1"/>
      <protection/>
    </xf>
    <xf numFmtId="49" fontId="12" fillId="40" borderId="17" xfId="82" applyNumberFormat="1" applyFont="1" applyFill="1" applyBorder="1" applyAlignment="1">
      <alignment horizontal="left" vertical="center" wrapText="1" indent="1"/>
      <protection/>
    </xf>
    <xf numFmtId="0" fontId="35" fillId="40" borderId="39" xfId="82" applyFont="1" applyFill="1" applyBorder="1" applyAlignment="1">
      <alignment horizontal="left" vertical="center" wrapText="1" indent="1"/>
      <protection/>
    </xf>
    <xf numFmtId="0" fontId="12" fillId="41" borderId="38" xfId="82" applyFont="1" applyFill="1" applyBorder="1" applyAlignment="1">
      <alignment horizontal="left" vertical="center" wrapText="1" indent="1"/>
      <protection/>
    </xf>
    <xf numFmtId="0" fontId="12" fillId="41" borderId="64" xfId="82" applyFont="1" applyFill="1" applyBorder="1" applyAlignment="1">
      <alignment horizontal="left" vertical="center" wrapText="1" indent="1"/>
      <protection/>
    </xf>
    <xf numFmtId="166" fontId="12" fillId="8" borderId="41" xfId="82" applyNumberFormat="1" applyFont="1" applyFill="1" applyBorder="1" applyAlignment="1">
      <alignment horizontal="right" vertical="center" wrapText="1"/>
      <protection/>
    </xf>
    <xf numFmtId="166" fontId="12" fillId="39" borderId="41" xfId="82" applyNumberFormat="1" applyFont="1" applyFill="1" applyBorder="1" applyAlignment="1" applyProtection="1">
      <alignment horizontal="right" vertical="center" wrapText="1"/>
      <protection locked="0"/>
    </xf>
    <xf numFmtId="166" fontId="13" fillId="0" borderId="41" xfId="82" applyNumberFormat="1" applyFont="1" applyBorder="1" applyAlignment="1" applyProtection="1">
      <alignment horizontal="right" vertical="center" wrapText="1"/>
      <protection locked="0"/>
    </xf>
    <xf numFmtId="166" fontId="35" fillId="0" borderId="41" xfId="82" applyNumberFormat="1" applyFont="1" applyBorder="1" applyAlignment="1" applyProtection="1">
      <alignment horizontal="right" vertical="center" wrapText="1"/>
      <protection locked="0"/>
    </xf>
    <xf numFmtId="166" fontId="13" fillId="38" borderId="41" xfId="82" applyNumberFormat="1" applyFont="1" applyFill="1" applyBorder="1" applyAlignment="1" applyProtection="1">
      <alignment horizontal="right" vertical="center" wrapText="1"/>
      <protection locked="0"/>
    </xf>
    <xf numFmtId="166" fontId="13" fillId="0" borderId="41" xfId="82" applyNumberFormat="1" applyFont="1" applyBorder="1" applyAlignment="1" applyProtection="1">
      <alignment horizontal="right" vertical="center" wrapText="1"/>
      <protection locked="0"/>
    </xf>
    <xf numFmtId="166" fontId="35" fillId="38" borderId="41" xfId="82" applyNumberFormat="1" applyFont="1" applyFill="1" applyBorder="1" applyAlignment="1" applyProtection="1">
      <alignment horizontal="right" vertical="center" wrapText="1"/>
      <protection locked="0"/>
    </xf>
    <xf numFmtId="166" fontId="12" fillId="40" borderId="41" xfId="82" applyNumberFormat="1" applyFont="1" applyFill="1" applyBorder="1" applyAlignment="1" applyProtection="1">
      <alignment horizontal="right" vertical="center" wrapText="1"/>
      <protection locked="0"/>
    </xf>
    <xf numFmtId="166" fontId="12" fillId="0" borderId="41" xfId="82" applyNumberFormat="1" applyFont="1" applyBorder="1" applyAlignment="1" applyProtection="1">
      <alignment horizontal="right" vertical="center" wrapText="1"/>
      <protection locked="0"/>
    </xf>
    <xf numFmtId="166" fontId="12" fillId="40" borderId="41" xfId="82" applyNumberFormat="1" applyFont="1" applyFill="1" applyBorder="1" applyAlignment="1">
      <alignment horizontal="right" vertical="center" wrapText="1"/>
      <protection/>
    </xf>
    <xf numFmtId="0" fontId="43" fillId="0" borderId="15" xfId="73" applyFont="1" applyBorder="1" applyAlignment="1">
      <alignment horizontal="left" vertical="top" wrapText="1"/>
      <protection/>
    </xf>
    <xf numFmtId="0" fontId="45" fillId="5" borderId="29" xfId="73" applyFont="1" applyFill="1" applyBorder="1" applyAlignment="1">
      <alignment horizontal="left" vertical="top" wrapText="1"/>
      <protection/>
    </xf>
    <xf numFmtId="3" fontId="45" fillId="5" borderId="29" xfId="73" applyNumberFormat="1" applyFont="1" applyFill="1" applyBorder="1" applyAlignment="1">
      <alignment horizontal="right" vertical="top" wrapText="1"/>
      <protection/>
    </xf>
    <xf numFmtId="0" fontId="43" fillId="0" borderId="12" xfId="73" applyFont="1" applyBorder="1" applyAlignment="1">
      <alignment horizontal="left" vertical="top" wrapText="1"/>
      <protection/>
    </xf>
    <xf numFmtId="0" fontId="44" fillId="14" borderId="20" xfId="0" applyFont="1" applyFill="1" applyBorder="1" applyAlignment="1">
      <alignment horizontal="center" vertical="top" wrapText="1"/>
    </xf>
    <xf numFmtId="0" fontId="44" fillId="14" borderId="66" xfId="0" applyFont="1" applyFill="1" applyBorder="1" applyAlignment="1">
      <alignment horizontal="center" vertical="top" wrapText="1"/>
    </xf>
    <xf numFmtId="0" fontId="44" fillId="14" borderId="17" xfId="0" applyFont="1" applyFill="1" applyBorder="1" applyAlignment="1">
      <alignment horizontal="center" vertical="top" wrapText="1"/>
    </xf>
    <xf numFmtId="0" fontId="44" fillId="14" borderId="26" xfId="0" applyFont="1" applyFill="1" applyBorder="1" applyAlignment="1">
      <alignment horizontal="center" vertical="top" wrapText="1"/>
    </xf>
    <xf numFmtId="0" fontId="44" fillId="14" borderId="41" xfId="0" applyFont="1" applyFill="1" applyBorder="1" applyAlignment="1">
      <alignment horizontal="center" vertical="top" wrapText="1"/>
    </xf>
    <xf numFmtId="0" fontId="44" fillId="14" borderId="41" xfId="73" applyFont="1" applyFill="1" applyBorder="1" applyAlignment="1">
      <alignment horizontal="center" vertical="top" wrapText="1"/>
      <protection/>
    </xf>
    <xf numFmtId="0" fontId="44" fillId="14" borderId="66" xfId="73" applyFont="1" applyFill="1" applyBorder="1" applyAlignment="1">
      <alignment horizontal="center" vertical="center" wrapText="1"/>
      <protection/>
    </xf>
    <xf numFmtId="0" fontId="44" fillId="14" borderId="66" xfId="0" applyFont="1" applyFill="1" applyBorder="1" applyAlignment="1">
      <alignment horizontal="center" vertical="center" wrapText="1"/>
    </xf>
    <xf numFmtId="0" fontId="44" fillId="14" borderId="45" xfId="0" applyFont="1" applyFill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4" fillId="0" borderId="0" xfId="0" applyNumberFormat="1" applyFont="1" applyAlignment="1" applyProtection="1">
      <alignment horizontal="right" wrapText="1"/>
      <protection locked="0"/>
    </xf>
    <xf numFmtId="166" fontId="3" fillId="9" borderId="20" xfId="0" applyNumberFormat="1" applyFont="1" applyFill="1" applyBorder="1" applyAlignment="1" applyProtection="1">
      <alignment horizontal="center" vertical="center" wrapText="1"/>
      <protection locked="0"/>
    </xf>
    <xf numFmtId="166" fontId="3" fillId="9" borderId="62" xfId="0" applyNumberFormat="1" applyFont="1" applyFill="1" applyBorder="1" applyAlignment="1" applyProtection="1">
      <alignment horizontal="left" vertical="center" wrapText="1" indent="1"/>
      <protection locked="0"/>
    </xf>
    <xf numFmtId="166" fontId="47" fillId="9" borderId="66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 applyProtection="1">
      <alignment horizontal="center" vertical="center" wrapText="1"/>
      <protection locked="0"/>
    </xf>
    <xf numFmtId="166" fontId="6" fillId="0" borderId="39" xfId="0" applyNumberFormat="1" applyFont="1" applyBorder="1" applyAlignment="1" applyProtection="1">
      <alignment horizontal="center" vertical="center" wrapText="1"/>
      <protection locked="0"/>
    </xf>
    <xf numFmtId="166" fontId="6" fillId="0" borderId="41" xfId="0" applyNumberFormat="1" applyFont="1" applyBorder="1" applyAlignment="1" applyProtection="1">
      <alignment horizontal="center" vertical="center" wrapText="1"/>
      <protection locked="0"/>
    </xf>
    <xf numFmtId="0" fontId="16" fillId="0" borderId="81" xfId="0" applyFont="1" applyBorder="1" applyAlignment="1">
      <alignment horizontal="left" indent="1"/>
    </xf>
    <xf numFmtId="0" fontId="48" fillId="38" borderId="12" xfId="0" applyFont="1" applyFill="1" applyBorder="1" applyAlignment="1">
      <alignment horizontal="left" wrapText="1" indent="1"/>
    </xf>
    <xf numFmtId="0" fontId="20" fillId="0" borderId="39" xfId="0" applyFont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vertical="center" wrapText="1" indent="1"/>
    </xf>
    <xf numFmtId="166" fontId="11" fillId="0" borderId="39" xfId="0" applyNumberFormat="1" applyFont="1" applyBorder="1" applyAlignment="1" applyProtection="1">
      <alignment horizontal="left" vertical="center" wrapText="1" indent="1"/>
      <protection locked="0"/>
    </xf>
    <xf numFmtId="166" fontId="11" fillId="0" borderId="41" xfId="0" applyNumberFormat="1" applyFont="1" applyBorder="1" applyAlignment="1" applyProtection="1">
      <alignment vertical="center" wrapText="1"/>
      <protection locked="0"/>
    </xf>
    <xf numFmtId="166" fontId="11" fillId="0" borderId="72" xfId="0" applyNumberFormat="1" applyFont="1" applyBorder="1" applyAlignment="1" applyProtection="1">
      <alignment vertical="center" wrapText="1"/>
      <protection locked="0"/>
    </xf>
    <xf numFmtId="166" fontId="6" fillId="41" borderId="75" xfId="0" applyNumberFormat="1" applyFont="1" applyFill="1" applyBorder="1" applyAlignment="1" applyProtection="1">
      <alignment vertical="center" wrapText="1"/>
      <protection locked="0"/>
    </xf>
    <xf numFmtId="166" fontId="0" fillId="0" borderId="31" xfId="0" applyNumberFormat="1" applyBorder="1" applyAlignment="1" applyProtection="1">
      <alignment horizontal="left" vertical="center" wrapText="1"/>
      <protection locked="0"/>
    </xf>
    <xf numFmtId="166" fontId="11" fillId="0" borderId="11" xfId="0" applyNumberFormat="1" applyFont="1" applyBorder="1" applyAlignment="1" applyProtection="1">
      <alignment horizontal="left" vertical="center" wrapText="1" indent="1"/>
      <protection locked="0"/>
    </xf>
    <xf numFmtId="0" fontId="108" fillId="0" borderId="11" xfId="0" applyFont="1" applyBorder="1" applyAlignment="1">
      <alignment horizontal="left" wrapText="1" indent="1"/>
    </xf>
    <xf numFmtId="166" fontId="6" fillId="0" borderId="44" xfId="0" applyNumberFormat="1" applyFont="1" applyBorder="1" applyAlignment="1" applyProtection="1">
      <alignment horizontal="center" vertical="center" wrapText="1"/>
      <protection locked="0"/>
    </xf>
    <xf numFmtId="166" fontId="11" fillId="0" borderId="73" xfId="0" applyNumberFormat="1" applyFont="1" applyBorder="1" applyAlignment="1" applyProtection="1">
      <alignment vertical="center" wrapText="1"/>
      <protection locked="0"/>
    </xf>
    <xf numFmtId="166" fontId="6" fillId="41" borderId="43" xfId="0" applyNumberFormat="1" applyFont="1" applyFill="1" applyBorder="1" applyAlignment="1" applyProtection="1">
      <alignment vertical="center" wrapText="1"/>
      <protection locked="0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166" fontId="12" fillId="0" borderId="11" xfId="0" applyNumberFormat="1" applyFont="1" applyBorder="1" applyAlignment="1">
      <alignment vertical="center" wrapTex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11" fillId="0" borderId="41" xfId="69" applyNumberFormat="1" applyFont="1" applyBorder="1" applyAlignment="1" applyProtection="1">
      <alignment horizontal="right" vertical="center" wrapText="1" indent="2"/>
      <protection locked="0"/>
    </xf>
    <xf numFmtId="166" fontId="49" fillId="0" borderId="73" xfId="69" applyNumberFormat="1" applyFont="1" applyBorder="1" applyAlignment="1" applyProtection="1">
      <alignment horizontal="right" vertical="center" wrapText="1" indent="2"/>
      <protection locked="0"/>
    </xf>
    <xf numFmtId="166" fontId="18" fillId="0" borderId="73" xfId="69" applyNumberFormat="1" applyFont="1" applyBorder="1" applyAlignment="1" applyProtection="1">
      <alignment horizontal="right" vertical="center" wrapText="1" indent="1"/>
      <protection locked="0"/>
    </xf>
    <xf numFmtId="166" fontId="49" fillId="0" borderId="41" xfId="69" applyNumberFormat="1" applyFont="1" applyBorder="1" applyAlignment="1" applyProtection="1">
      <alignment horizontal="right" vertical="center" wrapText="1" indent="2"/>
      <protection locked="0"/>
    </xf>
    <xf numFmtId="49" fontId="49" fillId="0" borderId="19" xfId="69" applyNumberFormat="1" applyFont="1" applyBorder="1" applyAlignment="1" applyProtection="1">
      <alignment horizontal="left" vertical="center"/>
      <protection locked="0"/>
    </xf>
    <xf numFmtId="166" fontId="13" fillId="38" borderId="41" xfId="69" applyNumberFormat="1" applyFont="1" applyFill="1" applyBorder="1" applyAlignment="1" applyProtection="1">
      <alignment horizontal="right" vertical="center" wrapText="1" indent="1"/>
      <protection locked="0"/>
    </xf>
    <xf numFmtId="3" fontId="109" fillId="0" borderId="26" xfId="0" applyNumberFormat="1" applyFont="1" applyBorder="1" applyAlignment="1" applyProtection="1">
      <alignment horizontal="right" vertical="center" indent="1"/>
      <protection locked="0"/>
    </xf>
    <xf numFmtId="0" fontId="107" fillId="38" borderId="66" xfId="0" applyFont="1" applyFill="1" applyBorder="1" applyAlignment="1">
      <alignment/>
    </xf>
    <xf numFmtId="0" fontId="107" fillId="38" borderId="41" xfId="0" applyFont="1" applyFill="1" applyBorder="1" applyAlignment="1">
      <alignment/>
    </xf>
    <xf numFmtId="0" fontId="107" fillId="38" borderId="40" xfId="0" applyFont="1" applyFill="1" applyBorder="1" applyAlignment="1">
      <alignment/>
    </xf>
    <xf numFmtId="3" fontId="107" fillId="38" borderId="26" xfId="0" applyNumberFormat="1" applyFont="1" applyFill="1" applyBorder="1" applyAlignment="1" applyProtection="1">
      <alignment horizontal="right" vertical="center" indent="1"/>
      <protection locked="0"/>
    </xf>
    <xf numFmtId="3" fontId="107" fillId="38" borderId="35" xfId="0" applyNumberFormat="1" applyFont="1" applyFill="1" applyBorder="1" applyAlignment="1" applyProtection="1">
      <alignment horizontal="right" vertical="center" indent="1"/>
      <protection locked="0"/>
    </xf>
    <xf numFmtId="3" fontId="107" fillId="38" borderId="41" xfId="0" applyNumberFormat="1" applyFont="1" applyFill="1" applyBorder="1" applyAlignment="1" applyProtection="1">
      <alignment horizontal="right" vertical="center" indent="1"/>
      <protection locked="0"/>
    </xf>
    <xf numFmtId="3" fontId="107" fillId="38" borderId="73" xfId="0" applyNumberFormat="1" applyFont="1" applyFill="1" applyBorder="1" applyAlignment="1" applyProtection="1">
      <alignment horizontal="right" vertical="center" indent="1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left" vertical="center" wrapText="1"/>
      <protection/>
    </xf>
    <xf numFmtId="166" fontId="11" fillId="0" borderId="17" xfId="0" applyNumberFormat="1" applyFont="1" applyFill="1" applyBorder="1" applyAlignment="1" applyProtection="1">
      <alignment vertical="center" wrapText="1"/>
      <protection locked="0"/>
    </xf>
    <xf numFmtId="166" fontId="11" fillId="0" borderId="19" xfId="0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/>
    </xf>
    <xf numFmtId="0" fontId="48" fillId="14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3" fontId="48" fillId="0" borderId="11" xfId="0" applyNumberFormat="1" applyFont="1" applyBorder="1" applyAlignment="1">
      <alignment horizontal="right" vertical="top" wrapText="1"/>
    </xf>
    <xf numFmtId="3" fontId="48" fillId="0" borderId="11" xfId="0" applyNumberFormat="1" applyFont="1" applyBorder="1" applyAlignment="1">
      <alignment/>
    </xf>
    <xf numFmtId="10" fontId="48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3" fontId="15" fillId="0" borderId="11" xfId="0" applyNumberFormat="1" applyFont="1" applyBorder="1" applyAlignment="1">
      <alignment horizontal="right" vertical="top" wrapText="1"/>
    </xf>
    <xf numFmtId="3" fontId="15" fillId="0" borderId="11" xfId="0" applyNumberFormat="1" applyFont="1" applyBorder="1" applyAlignment="1">
      <alignment/>
    </xf>
    <xf numFmtId="10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8" borderId="11" xfId="0" applyFont="1" applyFill="1" applyBorder="1" applyAlignment="1">
      <alignment horizontal="center" vertical="top" wrapText="1"/>
    </xf>
    <xf numFmtId="0" fontId="15" fillId="8" borderId="11" xfId="0" applyFont="1" applyFill="1" applyBorder="1" applyAlignment="1">
      <alignment horizontal="left" vertical="top" wrapText="1"/>
    </xf>
    <xf numFmtId="3" fontId="15" fillId="8" borderId="11" xfId="0" applyNumberFormat="1" applyFont="1" applyFill="1" applyBorder="1" applyAlignment="1">
      <alignment horizontal="right" vertical="top" wrapText="1"/>
    </xf>
    <xf numFmtId="3" fontId="15" fillId="8" borderId="11" xfId="0" applyNumberFormat="1" applyFont="1" applyFill="1" applyBorder="1" applyAlignment="1">
      <alignment/>
    </xf>
    <xf numFmtId="10" fontId="15" fillId="8" borderId="11" xfId="0" applyNumberFormat="1" applyFont="1" applyFill="1" applyBorder="1" applyAlignment="1">
      <alignment/>
    </xf>
    <xf numFmtId="0" fontId="15" fillId="9" borderId="11" xfId="0" applyFont="1" applyFill="1" applyBorder="1" applyAlignment="1">
      <alignment horizontal="center" vertical="top" wrapText="1"/>
    </xf>
    <xf numFmtId="0" fontId="15" fillId="9" borderId="11" xfId="0" applyFont="1" applyFill="1" applyBorder="1" applyAlignment="1">
      <alignment horizontal="left" vertical="top" wrapText="1"/>
    </xf>
    <xf numFmtId="3" fontId="15" fillId="9" borderId="11" xfId="0" applyNumberFormat="1" applyFont="1" applyFill="1" applyBorder="1" applyAlignment="1">
      <alignment horizontal="right" vertical="top" wrapText="1"/>
    </xf>
    <xf numFmtId="3" fontId="15" fillId="9" borderId="11" xfId="0" applyNumberFormat="1" applyFont="1" applyFill="1" applyBorder="1" applyAlignment="1">
      <alignment/>
    </xf>
    <xf numFmtId="10" fontId="15" fillId="9" borderId="11" xfId="0" applyNumberFormat="1" applyFont="1" applyFill="1" applyBorder="1" applyAlignment="1">
      <alignment/>
    </xf>
    <xf numFmtId="166" fontId="0" fillId="0" borderId="0" xfId="82" applyNumberFormat="1" applyFont="1" applyFill="1" applyProtection="1">
      <alignment/>
      <protection/>
    </xf>
    <xf numFmtId="180" fontId="2" fillId="0" borderId="0" xfId="82" applyNumberFormat="1" applyFill="1" applyProtection="1">
      <alignment/>
      <protection/>
    </xf>
    <xf numFmtId="180" fontId="13" fillId="0" borderId="0" xfId="82" applyNumberFormat="1" applyFont="1" applyFill="1" applyProtection="1">
      <alignment/>
      <protection/>
    </xf>
    <xf numFmtId="180" fontId="0" fillId="0" borderId="0" xfId="82" applyNumberFormat="1" applyFont="1" applyFill="1" applyProtection="1">
      <alignment/>
      <protection/>
    </xf>
    <xf numFmtId="180" fontId="2" fillId="0" borderId="0" xfId="82" applyNumberFormat="1" applyFill="1" applyAlignment="1" applyProtection="1">
      <alignment/>
      <protection/>
    </xf>
    <xf numFmtId="0" fontId="3" fillId="0" borderId="55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/>
    </xf>
    <xf numFmtId="0" fontId="48" fillId="9" borderId="11" xfId="0" applyFont="1" applyFill="1" applyBorder="1" applyAlignment="1">
      <alignment horizontal="center" vertical="top" wrapText="1"/>
    </xf>
    <xf numFmtId="0" fontId="110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82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82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82" applyFont="1" applyFill="1" applyAlignment="1" applyProtection="1">
      <alignment horizontal="center" vertical="center"/>
      <protection locked="0"/>
    </xf>
    <xf numFmtId="166" fontId="20" fillId="0" borderId="31" xfId="82" applyNumberFormat="1" applyFont="1" applyFill="1" applyBorder="1" applyAlignment="1" applyProtection="1">
      <alignment horizontal="left" vertical="center"/>
      <protection/>
    </xf>
    <xf numFmtId="0" fontId="6" fillId="0" borderId="24" xfId="82" applyFont="1" applyFill="1" applyBorder="1" applyAlignment="1" applyProtection="1">
      <alignment horizontal="center" vertical="center" wrapText="1"/>
      <protection/>
    </xf>
    <xf numFmtId="0" fontId="6" fillId="0" borderId="38" xfId="82" applyFont="1" applyFill="1" applyBorder="1" applyAlignment="1" applyProtection="1">
      <alignment horizontal="center" vertical="center" wrapText="1"/>
      <protection/>
    </xf>
    <xf numFmtId="0" fontId="6" fillId="0" borderId="25" xfId="82" applyFont="1" applyFill="1" applyBorder="1" applyAlignment="1" applyProtection="1">
      <alignment horizontal="center" vertical="center" wrapText="1"/>
      <protection/>
    </xf>
    <xf numFmtId="0" fontId="6" fillId="0" borderId="32" xfId="82" applyFont="1" applyFill="1" applyBorder="1" applyAlignment="1" applyProtection="1">
      <alignment horizontal="center" vertical="center" wrapText="1"/>
      <protection/>
    </xf>
    <xf numFmtId="0" fontId="6" fillId="0" borderId="82" xfId="82" applyFont="1" applyFill="1" applyBorder="1" applyAlignment="1" applyProtection="1">
      <alignment horizontal="center" vertical="center" wrapText="1"/>
      <protection/>
    </xf>
    <xf numFmtId="0" fontId="6" fillId="0" borderId="13" xfId="82" applyFont="1" applyFill="1" applyBorder="1" applyAlignment="1" applyProtection="1">
      <alignment horizontal="center" vertical="center" wrapText="1"/>
      <protection/>
    </xf>
    <xf numFmtId="0" fontId="6" fillId="0" borderId="45" xfId="82" applyFont="1" applyFill="1" applyBorder="1" applyAlignment="1" applyProtection="1">
      <alignment horizontal="center" vertical="center" wrapText="1"/>
      <protection/>
    </xf>
    <xf numFmtId="0" fontId="5" fillId="0" borderId="0" xfId="82" applyFont="1" applyFill="1" applyAlignment="1" applyProtection="1">
      <alignment horizontal="center"/>
      <protection/>
    </xf>
    <xf numFmtId="166" fontId="5" fillId="0" borderId="0" xfId="82" applyNumberFormat="1" applyFont="1" applyFill="1" applyBorder="1" applyAlignment="1" applyProtection="1">
      <alignment horizontal="center" vertical="center"/>
      <protection locked="0"/>
    </xf>
    <xf numFmtId="166" fontId="5" fillId="0" borderId="0" xfId="82" applyNumberFormat="1" applyFont="1" applyFill="1" applyBorder="1" applyAlignment="1" applyProtection="1">
      <alignment horizontal="center" vertical="center"/>
      <protection/>
    </xf>
    <xf numFmtId="166" fontId="20" fillId="0" borderId="31" xfId="82" applyNumberFormat="1" applyFont="1" applyFill="1" applyBorder="1" applyAlignment="1" applyProtection="1">
      <alignment horizontal="left" vertical="center"/>
      <protection locked="0"/>
    </xf>
    <xf numFmtId="166" fontId="20" fillId="0" borderId="31" xfId="82" applyNumberFormat="1" applyFont="1" applyFill="1" applyBorder="1" applyAlignment="1" applyProtection="1">
      <alignment horizontal="left"/>
      <protection/>
    </xf>
    <xf numFmtId="166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6" fontId="111" fillId="0" borderId="6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41" fillId="0" borderId="0" xfId="69" applyFont="1" applyAlignment="1">
      <alignment horizontal="center" textRotation="180"/>
      <protection/>
    </xf>
    <xf numFmtId="166" fontId="4" fillId="0" borderId="31" xfId="69" applyNumberFormat="1" applyFont="1" applyBorder="1" applyAlignment="1" applyProtection="1">
      <alignment horizontal="right" vertical="center"/>
      <protection locked="0"/>
    </xf>
    <xf numFmtId="166" fontId="6" fillId="0" borderId="83" xfId="69" applyNumberFormat="1" applyFont="1" applyBorder="1" applyAlignment="1">
      <alignment horizontal="center" vertical="center"/>
      <protection/>
    </xf>
    <xf numFmtId="166" fontId="6" fillId="0" borderId="42" xfId="69" applyNumberFormat="1" applyFont="1" applyBorder="1" applyAlignment="1">
      <alignment horizontal="center" vertical="center"/>
      <protection/>
    </xf>
    <xf numFmtId="166" fontId="6" fillId="0" borderId="74" xfId="69" applyNumberFormat="1" applyFont="1" applyBorder="1" applyAlignment="1">
      <alignment horizontal="center" vertical="center"/>
      <protection/>
    </xf>
    <xf numFmtId="166" fontId="6" fillId="0" borderId="83" xfId="69" applyNumberFormat="1" applyFont="1" applyBorder="1" applyAlignment="1">
      <alignment horizontal="center" vertical="center" wrapText="1"/>
      <protection/>
    </xf>
    <xf numFmtId="166" fontId="6" fillId="0" borderId="61" xfId="69" applyNumberFormat="1" applyFont="1" applyBorder="1" applyAlignment="1">
      <alignment horizontal="center" vertical="center" wrapText="1"/>
      <protection/>
    </xf>
    <xf numFmtId="0" fontId="0" fillId="0" borderId="61" xfId="69" applyBorder="1" applyAlignment="1">
      <alignment horizontal="center" vertical="center" wrapText="1"/>
      <protection/>
    </xf>
    <xf numFmtId="0" fontId="0" fillId="0" borderId="47" xfId="69" applyBorder="1" applyAlignment="1">
      <alignment horizontal="center" vertical="center" wrapText="1"/>
      <protection/>
    </xf>
    <xf numFmtId="166" fontId="3" fillId="0" borderId="78" xfId="69" applyNumberFormat="1" applyFont="1" applyBorder="1" applyAlignment="1">
      <alignment horizontal="center" vertical="center" wrapText="1"/>
      <protection/>
    </xf>
    <xf numFmtId="166" fontId="3" fillId="0" borderId="44" xfId="69" applyNumberFormat="1" applyFont="1" applyBorder="1" applyAlignment="1">
      <alignment horizontal="center" vertical="center"/>
      <protection/>
    </xf>
    <xf numFmtId="0" fontId="112" fillId="0" borderId="75" xfId="0" applyFont="1" applyBorder="1" applyAlignment="1">
      <alignment horizontal="center" vertical="center"/>
    </xf>
    <xf numFmtId="166" fontId="6" fillId="0" borderId="59" xfId="69" applyNumberFormat="1" applyFont="1" applyBorder="1" applyAlignment="1">
      <alignment horizontal="center" vertical="center" wrapText="1"/>
      <protection/>
    </xf>
    <xf numFmtId="0" fontId="0" fillId="0" borderId="56" xfId="69" applyBorder="1" applyAlignment="1">
      <alignment horizontal="center" vertical="center" wrapText="1"/>
      <protection/>
    </xf>
    <xf numFmtId="0" fontId="0" fillId="0" borderId="34" xfId="69" applyBorder="1" applyAlignment="1">
      <alignment horizontal="center" vertical="center" wrapText="1"/>
      <protection/>
    </xf>
    <xf numFmtId="166" fontId="6" fillId="0" borderId="78" xfId="69" applyNumberFormat="1" applyFont="1" applyBorder="1" applyAlignment="1">
      <alignment horizontal="center" vertical="center" wrapText="1"/>
      <protection/>
    </xf>
    <xf numFmtId="0" fontId="113" fillId="0" borderId="75" xfId="0" applyFont="1" applyBorder="1" applyAlignment="1">
      <alignment horizontal="center" vertical="center" wrapText="1"/>
    </xf>
    <xf numFmtId="166" fontId="12" fillId="0" borderId="59" xfId="69" applyNumberFormat="1" applyFont="1" applyBorder="1" applyAlignment="1" applyProtection="1">
      <alignment horizontal="center" vertical="center" wrapText="1"/>
      <protection/>
    </xf>
    <xf numFmtId="166" fontId="12" fillId="0" borderId="56" xfId="69" applyNumberFormat="1" applyFont="1" applyBorder="1" applyAlignment="1" applyProtection="1">
      <alignment horizontal="center" vertical="center" wrapText="1"/>
      <protection/>
    </xf>
    <xf numFmtId="0" fontId="0" fillId="0" borderId="34" xfId="69" applyBorder="1" applyAlignment="1" applyProtection="1">
      <alignment horizontal="center" vertical="center"/>
      <protection/>
    </xf>
    <xf numFmtId="0" fontId="0" fillId="0" borderId="56" xfId="69" applyBorder="1" applyAlignment="1" applyProtection="1">
      <alignment horizontal="center" vertical="center"/>
      <protection/>
    </xf>
    <xf numFmtId="166" fontId="19" fillId="0" borderId="0" xfId="69" applyNumberFormat="1" applyFont="1" applyAlignment="1" applyProtection="1">
      <alignment horizontal="left" vertical="center" wrapText="1"/>
      <protection locked="0"/>
    </xf>
    <xf numFmtId="166" fontId="0" fillId="0" borderId="0" xfId="69" applyNumberFormat="1" applyAlignment="1" applyProtection="1">
      <alignment horizontal="left" vertical="center" wrapText="1"/>
      <protection locked="0"/>
    </xf>
    <xf numFmtId="175" fontId="26" fillId="0" borderId="61" xfId="69" applyNumberFormat="1" applyFont="1" applyBorder="1" applyAlignment="1" applyProtection="1">
      <alignment horizontal="left" vertical="center" wrapText="1"/>
      <protection locked="0"/>
    </xf>
    <xf numFmtId="0" fontId="8" fillId="0" borderId="0" xfId="69" applyFont="1" applyAlignment="1">
      <alignment horizontal="right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Alignment="1" applyProtection="1">
      <alignment horizontal="center" vertical="center"/>
      <protection locked="0"/>
    </xf>
    <xf numFmtId="175" fontId="5" fillId="0" borderId="0" xfId="69" applyNumberFormat="1" applyFont="1" applyAlignment="1" applyProtection="1">
      <alignment horizontal="center" vertical="center" wrapText="1"/>
      <protection locked="0"/>
    </xf>
    <xf numFmtId="166" fontId="4" fillId="0" borderId="31" xfId="69" applyNumberFormat="1" applyFont="1" applyBorder="1" applyAlignment="1">
      <alignment horizontal="right" vertical="center"/>
      <protection/>
    </xf>
    <xf numFmtId="166" fontId="3" fillId="0" borderId="59" xfId="69" applyNumberFormat="1" applyFont="1" applyBorder="1" applyAlignment="1">
      <alignment horizontal="center" vertical="center" wrapText="1"/>
      <protection/>
    </xf>
    <xf numFmtId="166" fontId="3" fillId="0" borderId="56" xfId="69" applyNumberFormat="1" applyFont="1" applyBorder="1" applyAlignment="1">
      <alignment horizontal="center" vertical="center" wrapText="1"/>
      <protection/>
    </xf>
    <xf numFmtId="166" fontId="3" fillId="0" borderId="34" xfId="69" applyNumberFormat="1" applyFont="1" applyBorder="1" applyAlignment="1">
      <alignment horizontal="center" vertical="center" wrapText="1"/>
      <protection/>
    </xf>
    <xf numFmtId="166" fontId="0" fillId="0" borderId="76" xfId="69" applyNumberFormat="1" applyBorder="1" applyAlignment="1" applyProtection="1">
      <alignment horizontal="left" vertical="center" wrapText="1"/>
      <protection locked="0"/>
    </xf>
    <xf numFmtId="166" fontId="0" fillId="0" borderId="63" xfId="69" applyNumberFormat="1" applyBorder="1" applyAlignment="1" applyProtection="1">
      <alignment horizontal="left" vertical="center" wrapText="1"/>
      <protection locked="0"/>
    </xf>
    <xf numFmtId="166" fontId="0" fillId="0" borderId="48" xfId="69" applyNumberFormat="1" applyBorder="1" applyAlignment="1" applyProtection="1">
      <alignment horizontal="left" vertical="center" wrapText="1"/>
      <protection locked="0"/>
    </xf>
    <xf numFmtId="166" fontId="0" fillId="0" borderId="84" xfId="69" applyNumberFormat="1" applyBorder="1" applyAlignment="1" applyProtection="1">
      <alignment horizontal="left" vertical="center" wrapText="1"/>
      <protection locked="0"/>
    </xf>
    <xf numFmtId="166" fontId="0" fillId="0" borderId="85" xfId="69" applyNumberFormat="1" applyBorder="1" applyAlignment="1" applyProtection="1">
      <alignment horizontal="left" vertical="center" wrapText="1"/>
      <protection locked="0"/>
    </xf>
    <xf numFmtId="166" fontId="0" fillId="0" borderId="49" xfId="69" applyNumberFormat="1" applyBorder="1" applyAlignment="1" applyProtection="1">
      <alignment horizontal="left" vertical="center" wrapText="1"/>
      <protection locked="0"/>
    </xf>
    <xf numFmtId="166" fontId="3" fillId="0" borderId="59" xfId="69" applyNumberFormat="1" applyFont="1" applyBorder="1" applyAlignment="1">
      <alignment horizontal="left" vertical="center" wrapText="1"/>
      <protection/>
    </xf>
    <xf numFmtId="166" fontId="3" fillId="0" borderId="56" xfId="69" applyNumberFormat="1" applyFont="1" applyBorder="1" applyAlignment="1">
      <alignment horizontal="left" vertical="center" wrapText="1"/>
      <protection/>
    </xf>
    <xf numFmtId="166" fontId="3" fillId="0" borderId="34" xfId="69" applyNumberFormat="1" applyFont="1" applyBorder="1" applyAlignment="1">
      <alignment horizontal="left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44" fillId="6" borderId="11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/>
    </xf>
    <xf numFmtId="0" fontId="0" fillId="6" borderId="11" xfId="0" applyFill="1" applyBorder="1" applyAlignment="1">
      <alignment/>
    </xf>
    <xf numFmtId="0" fontId="6" fillId="0" borderId="20" xfId="82" applyFont="1" applyFill="1" applyBorder="1" applyAlignment="1" applyProtection="1">
      <alignment horizontal="center" vertical="center" wrapText="1"/>
      <protection/>
    </xf>
    <xf numFmtId="0" fontId="6" fillId="0" borderId="21" xfId="82" applyFont="1" applyFill="1" applyBorder="1" applyAlignment="1" applyProtection="1">
      <alignment horizontal="center" vertical="center" wrapText="1"/>
      <protection/>
    </xf>
    <xf numFmtId="0" fontId="6" fillId="0" borderId="29" xfId="82" applyFont="1" applyFill="1" applyBorder="1" applyAlignment="1" applyProtection="1">
      <alignment horizontal="center" vertical="center" wrapText="1"/>
      <protection/>
    </xf>
    <xf numFmtId="166" fontId="6" fillId="0" borderId="13" xfId="82" applyNumberFormat="1" applyFont="1" applyFill="1" applyBorder="1" applyAlignment="1" applyProtection="1">
      <alignment horizontal="center" vertical="center"/>
      <protection/>
    </xf>
    <xf numFmtId="166" fontId="6" fillId="0" borderId="45" xfId="82" applyNumberFormat="1" applyFont="1" applyFill="1" applyBorder="1" applyAlignment="1" applyProtection="1">
      <alignment horizontal="center" vertical="center"/>
      <protection/>
    </xf>
    <xf numFmtId="0" fontId="6" fillId="0" borderId="20" xfId="82" applyFont="1" applyFill="1" applyBorder="1" applyAlignment="1" applyProtection="1">
      <alignment horizontal="center" vertical="center" wrapText="1"/>
      <protection locked="0"/>
    </xf>
    <xf numFmtId="0" fontId="6" fillId="0" borderId="21" xfId="82" applyFont="1" applyFill="1" applyBorder="1" applyAlignment="1" applyProtection="1">
      <alignment horizontal="center" vertical="center" wrapText="1"/>
      <protection locked="0"/>
    </xf>
    <xf numFmtId="0" fontId="6" fillId="0" borderId="13" xfId="82" applyFont="1" applyFill="1" applyBorder="1" applyAlignment="1" applyProtection="1">
      <alignment horizontal="center" vertical="center" wrapText="1"/>
      <protection locked="0"/>
    </xf>
    <xf numFmtId="0" fontId="6" fillId="0" borderId="29" xfId="82" applyFont="1" applyFill="1" applyBorder="1" applyAlignment="1" applyProtection="1">
      <alignment horizontal="center" vertical="center" wrapText="1"/>
      <protection locked="0"/>
    </xf>
    <xf numFmtId="0" fontId="6" fillId="0" borderId="25" xfId="82" applyFont="1" applyFill="1" applyBorder="1" applyAlignment="1" applyProtection="1">
      <alignment horizontal="center" vertical="center" wrapText="1"/>
      <protection locked="0"/>
    </xf>
    <xf numFmtId="0" fontId="6" fillId="0" borderId="32" xfId="82" applyFont="1" applyFill="1" applyBorder="1" applyAlignment="1" applyProtection="1">
      <alignment horizontal="center" vertical="center" wrapText="1"/>
      <protection locked="0"/>
    </xf>
    <xf numFmtId="166" fontId="6" fillId="0" borderId="13" xfId="82" applyNumberFormat="1" applyFont="1" applyFill="1" applyBorder="1" applyAlignment="1" applyProtection="1">
      <alignment horizontal="center" vertical="center"/>
      <protection locked="0"/>
    </xf>
    <xf numFmtId="166" fontId="6" fillId="0" borderId="45" xfId="8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8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2" xfId="0" applyNumberFormat="1" applyFont="1" applyFill="1" applyBorder="1" applyAlignment="1" applyProtection="1">
      <alignment horizontal="center" vertical="center"/>
      <protection/>
    </xf>
    <xf numFmtId="166" fontId="6" fillId="0" borderId="32" xfId="0" applyNumberFormat="1" applyFont="1" applyFill="1" applyBorder="1" applyAlignment="1" applyProtection="1">
      <alignment horizontal="center" vertical="center" wrapText="1"/>
      <protection/>
    </xf>
    <xf numFmtId="166" fontId="6" fillId="0" borderId="78" xfId="0" applyNumberFormat="1" applyFont="1" applyFill="1" applyBorder="1" applyAlignment="1" applyProtection="1">
      <alignment horizontal="center" vertical="center" wrapText="1"/>
      <protection/>
    </xf>
    <xf numFmtId="166" fontId="6" fillId="0" borderId="75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8" xfId="0" applyNumberFormat="1" applyFont="1" applyFill="1" applyBorder="1" applyAlignment="1" applyProtection="1">
      <alignment horizontal="center" vertical="center"/>
      <protection locked="0"/>
    </xf>
    <xf numFmtId="166" fontId="6" fillId="0" borderId="75" xfId="0" applyNumberFormat="1" applyFont="1" applyFill="1" applyBorder="1" applyAlignment="1" applyProtection="1">
      <alignment horizontal="center" vertical="center"/>
      <protection locked="0"/>
    </xf>
    <xf numFmtId="166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12" fillId="0" borderId="59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2" fillId="0" borderId="74" xfId="0" applyFont="1" applyBorder="1" applyAlignment="1">
      <alignment horizontal="left" vertical="center" indent="2"/>
    </xf>
    <xf numFmtId="0" fontId="12" fillId="0" borderId="33" xfId="0" applyFont="1" applyBorder="1" applyAlignment="1">
      <alignment horizontal="left" vertical="center" indent="2"/>
    </xf>
    <xf numFmtId="0" fontId="48" fillId="14" borderId="11" xfId="0" applyFont="1" applyFill="1" applyBorder="1" applyAlignment="1">
      <alignment horizontal="center" vertical="top" wrapText="1"/>
    </xf>
    <xf numFmtId="0" fontId="48" fillId="14" borderId="11" xfId="0" applyFont="1" applyFill="1" applyBorder="1" applyAlignment="1">
      <alignment/>
    </xf>
    <xf numFmtId="0" fontId="30" fillId="0" borderId="0" xfId="84" applyFont="1" applyFill="1" applyAlignment="1">
      <alignment horizontal="center" vertical="center" wrapText="1"/>
      <protection/>
    </xf>
    <xf numFmtId="0" fontId="30" fillId="0" borderId="0" xfId="84" applyFont="1" applyFill="1" applyAlignment="1">
      <alignment horizontal="center" vertical="center"/>
      <protection/>
    </xf>
    <xf numFmtId="0" fontId="15" fillId="0" borderId="59" xfId="84" applyFont="1" applyFill="1" applyBorder="1" applyAlignment="1">
      <alignment horizontal="left"/>
      <protection/>
    </xf>
    <xf numFmtId="0" fontId="15" fillId="0" borderId="33" xfId="84" applyFont="1" applyFill="1" applyBorder="1" applyAlignment="1">
      <alignment horizontal="left"/>
      <protection/>
    </xf>
    <xf numFmtId="3" fontId="25" fillId="0" borderId="0" xfId="84" applyNumberFormat="1" applyFont="1" applyFill="1" applyAlignment="1">
      <alignment horizontal="center"/>
      <protection/>
    </xf>
    <xf numFmtId="0" fontId="28" fillId="0" borderId="0" xfId="84" applyFont="1" applyFill="1" applyAlignment="1">
      <alignment horizontal="right"/>
      <protection/>
    </xf>
    <xf numFmtId="0" fontId="30" fillId="0" borderId="0" xfId="84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2" fillId="0" borderId="22" xfId="0" applyFont="1" applyBorder="1" applyAlignment="1" applyProtection="1">
      <alignment wrapText="1"/>
      <protection/>
    </xf>
    <xf numFmtId="0" fontId="32" fillId="0" borderId="23" xfId="0" applyFont="1" applyBorder="1" applyAlignment="1" applyProtection="1">
      <alignment wrapText="1"/>
      <protection/>
    </xf>
    <xf numFmtId="0" fontId="32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0" fontId="44" fillId="14" borderId="11" xfId="0" applyFont="1" applyFill="1" applyBorder="1" applyAlignment="1">
      <alignment horizontal="center" vertical="top" wrapText="1"/>
    </xf>
    <xf numFmtId="0" fontId="0" fillId="14" borderId="11" xfId="0" applyFill="1" applyBorder="1" applyAlignment="1">
      <alignment/>
    </xf>
    <xf numFmtId="0" fontId="44" fillId="14" borderId="74" xfId="0" applyFont="1" applyFill="1" applyBorder="1" applyAlignment="1">
      <alignment horizontal="center" vertical="top" wrapText="1"/>
    </xf>
    <xf numFmtId="0" fontId="0" fillId="14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57" xfId="0" applyBorder="1" applyAlignment="1">
      <alignment/>
    </xf>
    <xf numFmtId="3" fontId="4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1" fontId="15" fillId="0" borderId="0" xfId="0" applyNumberFormat="1" applyFont="1" applyAlignment="1">
      <alignment/>
    </xf>
  </cellXfs>
  <cellStyles count="7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3" xfId="51"/>
    <cellStyle name="Ezres 3" xfId="52"/>
    <cellStyle name="Ezres 3 2" xfId="53"/>
    <cellStyle name="Ezres 3 2 2" xfId="54"/>
    <cellStyle name="Ezres 3 3" xfId="55"/>
    <cellStyle name="Ezres 4" xfId="56"/>
    <cellStyle name="Ezres 4 2" xfId="57"/>
    <cellStyle name="Ezres 5" xfId="58"/>
    <cellStyle name="Figyelmeztetés" xfId="59"/>
    <cellStyle name="Hiperhivatkozás" xfId="60"/>
    <cellStyle name="Hyperlink" xfId="61"/>
    <cellStyle name="Hivatkozott cella" xfId="62"/>
    <cellStyle name="Jegyzet" xfId="63"/>
    <cellStyle name="Jó" xfId="64"/>
    <cellStyle name="Kimenet" xfId="65"/>
    <cellStyle name="Followed Hyperlink" xfId="66"/>
    <cellStyle name="Magyarázó szöveg" xfId="67"/>
    <cellStyle name="Már látott hiperhivatkozás" xfId="68"/>
    <cellStyle name="Normál 2" xfId="69"/>
    <cellStyle name="Normál 2 2" xfId="70"/>
    <cellStyle name="Normál 2 3" xfId="71"/>
    <cellStyle name="Normál 3" xfId="72"/>
    <cellStyle name="Normál 3 2" xfId="73"/>
    <cellStyle name="Normál 3 2 2" xfId="74"/>
    <cellStyle name="Normál 3 3" xfId="75"/>
    <cellStyle name="Normál 3 3 2" xfId="76"/>
    <cellStyle name="Normál 3 4" xfId="77"/>
    <cellStyle name="Normál 4" xfId="78"/>
    <cellStyle name="Normál 4 2" xfId="79"/>
    <cellStyle name="Normál 5" xfId="80"/>
    <cellStyle name="Normál 6" xfId="81"/>
    <cellStyle name="Normál_KVRENMUNKA" xfId="82"/>
    <cellStyle name="Normál_VAGYONK" xfId="83"/>
    <cellStyle name="Normál_VAGYONKIM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Százalék 2" xfId="9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209550</xdr:colOff>
      <xdr:row>17</xdr:row>
      <xdr:rowOff>38100</xdr:rowOff>
    </xdr:from>
    <xdr:to>
      <xdr:col>22</xdr:col>
      <xdr:colOff>342900</xdr:colOff>
      <xdr:row>23</xdr:row>
      <xdr:rowOff>180975</xdr:rowOff>
    </xdr:to>
    <xdr:sp>
      <xdr:nvSpPr>
        <xdr:cNvPr id="5" name="Téglalap 5"/>
        <xdr:cNvSpPr>
          <a:spLocks/>
        </xdr:cNvSpPr>
      </xdr:nvSpPr>
      <xdr:spPr>
        <a:xfrm>
          <a:off x="10287000" y="3057525"/>
          <a:ext cx="6305550" cy="1228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34">
      <selection activeCell="C36" sqref="C36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635">
        <v>2019</v>
      </c>
    </row>
    <row r="2" spans="1:3" ht="18.75">
      <c r="A2" s="894" t="s">
        <v>675</v>
      </c>
      <c r="B2" s="894"/>
      <c r="C2" s="894"/>
    </row>
    <row r="3" spans="1:3" ht="15">
      <c r="A3" s="584"/>
      <c r="B3" s="585"/>
      <c r="C3" s="584"/>
    </row>
    <row r="4" spans="1:3" ht="14.25">
      <c r="A4" s="586" t="s">
        <v>676</v>
      </c>
      <c r="B4" s="587" t="s">
        <v>677</v>
      </c>
      <c r="C4" s="586" t="s">
        <v>678</v>
      </c>
    </row>
    <row r="5" spans="1:3" ht="12.75">
      <c r="A5" s="588"/>
      <c r="B5" s="588"/>
      <c r="C5" s="588"/>
    </row>
    <row r="6" spans="1:3" ht="18.75">
      <c r="A6" s="895" t="s">
        <v>710</v>
      </c>
      <c r="B6" s="895"/>
      <c r="C6" s="895"/>
    </row>
    <row r="7" spans="1:3" ht="12.75">
      <c r="A7" s="588" t="s">
        <v>679</v>
      </c>
      <c r="B7" s="588" t="s">
        <v>680</v>
      </c>
      <c r="C7" s="589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588" t="s">
        <v>681</v>
      </c>
      <c r="B8" s="588" t="s">
        <v>718</v>
      </c>
      <c r="C8" s="589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588" t="s">
        <v>682</v>
      </c>
      <c r="B9" s="588" t="str">
        <f>CONCATENATE(LOWER('Z_1.1.sz.mell.'!A3))</f>
        <v>2019. évi zárszámadásának pénzügyi mérlege</v>
      </c>
      <c r="C9" s="589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588" t="s">
        <v>683</v>
      </c>
      <c r="B10" s="588" t="str">
        <f>'Z_1.2.sz.mell.'!A3</f>
        <v>2019. ÉVI ZÁRSZÁMADÁS</v>
      </c>
      <c r="C10" s="589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588" t="s">
        <v>684</v>
      </c>
      <c r="B11" s="588" t="str">
        <f>'Z_1.3.sz.mell.'!A3</f>
        <v>2019. ÉVI ZÁRSZÁMADÁS</v>
      </c>
      <c r="C11" s="589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588" t="s">
        <v>685</v>
      </c>
      <c r="B12" s="588" t="str">
        <f>'Z_1.4.sz.mell.'!A3</f>
        <v>2019. ÉVI ZÁRSZÁMADÁS</v>
      </c>
      <c r="C12" s="589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588" t="s">
        <v>506</v>
      </c>
      <c r="B13" s="588" t="s">
        <v>686</v>
      </c>
      <c r="C13" s="589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588" t="s">
        <v>420</v>
      </c>
      <c r="B14" s="588" t="s">
        <v>687</v>
      </c>
      <c r="C14" s="589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588" t="s">
        <v>688</v>
      </c>
      <c r="B15" s="588" t="s">
        <v>689</v>
      </c>
      <c r="C15" s="589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588" t="s">
        <v>690</v>
      </c>
      <c r="B16" s="588" t="s">
        <v>691</v>
      </c>
      <c r="C16" s="589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588" t="s">
        <v>692</v>
      </c>
      <c r="B17" s="588" t="s">
        <v>693</v>
      </c>
      <c r="C17" s="589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588" t="s">
        <v>694</v>
      </c>
      <c r="B18" s="588" t="str">
        <f>'Z_5.sz.mell.'!A9</f>
        <v>Európai úniós támogatással megvalósuló projektek</v>
      </c>
      <c r="C18" s="589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588" t="s">
        <v>512</v>
      </c>
      <c r="B19" s="588" t="s">
        <v>695</v>
      </c>
      <c r="C19" s="589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588" t="s">
        <v>447</v>
      </c>
      <c r="B20" s="588" t="s">
        <v>696</v>
      </c>
      <c r="C20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588" t="s">
        <v>448</v>
      </c>
      <c r="B21" s="588" t="s">
        <v>321</v>
      </c>
      <c r="C21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588" t="s">
        <v>697</v>
      </c>
      <c r="B22" s="588" t="s">
        <v>698</v>
      </c>
      <c r="C22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588" t="s">
        <v>699</v>
      </c>
      <c r="B23" s="588" t="str">
        <f>Z_ALAPADATOK!A11</f>
        <v>Bátaszéki Közös Önkormányzati Hivatal</v>
      </c>
      <c r="C23" s="589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588" t="s">
        <v>700</v>
      </c>
      <c r="B24" t="str">
        <f>Z_ALAPADATOK!B13</f>
        <v>Keresztély Gyula Városi Könyvtár</v>
      </c>
      <c r="C24" s="589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588" t="s">
        <v>701</v>
      </c>
      <c r="B25">
        <f>Z_ALAPADATOK!B15</f>
        <v>0</v>
      </c>
      <c r="C25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88" t="s">
        <v>702</v>
      </c>
      <c r="B26" t="str">
        <f>Z_ALAPADATOK!B17</f>
        <v>3 kvi név</v>
      </c>
      <c r="C26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88" t="s">
        <v>703</v>
      </c>
      <c r="B27" t="str">
        <f>Z_ALAPADATOK!B19</f>
        <v>4 kvi név</v>
      </c>
      <c r="C27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88" t="s">
        <v>704</v>
      </c>
      <c r="B28" t="str">
        <f>Z_ALAPADATOK!B21</f>
        <v>5 kvi név</v>
      </c>
      <c r="C28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88" t="s">
        <v>705</v>
      </c>
      <c r="B29" t="str">
        <f>Z_ALAPADATOK!B23</f>
        <v>6 kvi név</v>
      </c>
      <c r="C29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88" t="s">
        <v>706</v>
      </c>
      <c r="B30" t="str">
        <f>Z_ALAPADATOK!B25</f>
        <v>7 kvi név</v>
      </c>
      <c r="C30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88" t="s">
        <v>707</v>
      </c>
      <c r="B31" t="str">
        <f>Z_ALAPADATOK!B27</f>
        <v>8 kvi név</v>
      </c>
      <c r="C31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88" t="s">
        <v>708</v>
      </c>
      <c r="B32" t="str">
        <f>Z_ALAPADATOK!B29</f>
        <v>9 kvi név</v>
      </c>
      <c r="C32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88" t="s">
        <v>709</v>
      </c>
      <c r="B33" t="str">
        <f>Z_ALAPADATOK!B31</f>
        <v>10 kvi név</v>
      </c>
      <c r="C33" s="58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88" t="s">
        <v>730</v>
      </c>
      <c r="B34" t="str">
        <f>PROPER('Z_7.sz.mell'!A3)</f>
        <v>Költségvetési Szervek Maradványának Alakulása</v>
      </c>
      <c r="C34" s="589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588" t="s">
        <v>731</v>
      </c>
      <c r="B35" t="str">
        <f>'Z_8.sz.mell'!B3</f>
        <v>Megnevezés</v>
      </c>
      <c r="C35" s="589" t="str">
        <f ca="1">HYPERLINK(SUBSTITUTE(CELL("address",'Z_8.sz.mell'!A3),"'",""),SUBSTITUTE(MID(CELL("address",'Z_8.sz.mell'!A3),SEARCH("]",CELL("address",'Z_8.sz.mell'!A3),1)+1,LEN(CELL("address",'Z_8.sz.mell'!A3))-SEARCH("]",CELL("address",'Z_8.sz.mell'!A3),1)),"'",""))</f>
        <v>Z_8.sz.mell!$A$3</v>
      </c>
    </row>
    <row r="36" spans="1:3" ht="12.75">
      <c r="A36" s="588" t="s">
        <v>658</v>
      </c>
      <c r="B36" t="str">
        <f>CONCATENATE(PROPER('Z_1.tájékoztató_t.'!A2)," ",LOWER('Z_1.tájékoztató_t.'!A3))</f>
        <v>Bátaszék Város Önkormányzata 2019. évi zárszámadásának pénzügyi mérlege</v>
      </c>
      <c r="C36" s="589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588" t="s">
        <v>660</v>
      </c>
      <c r="B37" t="str">
        <f>'Z_2.tájékoztató_t.'!A1</f>
        <v>Többéves kihatással járó döntésekből származó kötzelezettségek célok szerinti, évenkénti bontásban</v>
      </c>
      <c r="C37" s="589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588" t="s">
        <v>661</v>
      </c>
      <c r="B38" t="str">
        <f>'Z_3.tájékoztató_t.'!A1</f>
        <v>Az önkormányzat által nyújtott hitel és kölcsön alakulása lejárat és eszközök szerinti bontásban</v>
      </c>
      <c r="C38" s="589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588" t="s">
        <v>662</v>
      </c>
      <c r="B39" t="str">
        <f>'Z_4.tájékoztató_t.'!A1</f>
        <v>Adósság állomány alakulása lejárat, eszközök, bel- és külföldi hitelezők szerinti bontásban
2019. december 31-én</v>
      </c>
      <c r="C39" s="589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588" t="s">
        <v>663</v>
      </c>
      <c r="B40" t="str">
        <f>'Z_5.tájékoztató_t.'!A3</f>
        <v>Az önkormányzat által adott közvetett támogatások</v>
      </c>
      <c r="C40" s="589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588" t="s">
        <v>667</v>
      </c>
      <c r="B41" t="str">
        <f>CONCATENATE(PROPER('Z_6.tájékoztató_t.'!A2)," ",LOWER('Z_6.tájékoztató_t.'!A3))</f>
        <v>K I M U T A T Á S a 2019. évi céljelleggel juttatott támogatások felhasználásáról</v>
      </c>
      <c r="C41" s="589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588" t="s">
        <v>668</v>
      </c>
      <c r="B42" t="str">
        <f>CONCATENATE(PROPER('Z_7.1.tájékoztató_t.'!A2)," ",'Z_7.1.tájékoztató_t.'!A3)</f>
        <v># 1</v>
      </c>
      <c r="C42" s="589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588" t="s">
        <v>670</v>
      </c>
      <c r="B43" t="str">
        <f>CONCATENATE(PROPER('Z_7.2.tájékoztató_t.'!A3)," ",'Z_7.2.tájékoztató_t.'!A4)</f>
        <v>1 01</v>
      </c>
      <c r="C43" s="589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588" t="s">
        <v>671</v>
      </c>
      <c r="B44" t="str">
        <f>CONCATENATE(PROPER('Z_7.3.tájékoztató_t.'!A3)," ",'Z_7.3.tájékoztató_t.'!A4)</f>
        <v>Vagyonkimutatás az érték nélkül nyilvántartott eszkzözkről</v>
      </c>
      <c r="C44" s="589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588" t="s">
        <v>673</v>
      </c>
      <c r="B45" t="str">
        <f>CONCATENATE('Z_8.tájékoztató_t.'!A2,'Z_8.tájékoztató_t.'!A3)</f>
        <v>Bátaszék Város Önkormányzata tulajdonában álló gazdálkodó szervezetek működéséből származókötelezettségek és részesedések alakulása 2019. évben</v>
      </c>
      <c r="C45" s="589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588" t="s">
        <v>674</v>
      </c>
      <c r="B46" t="s">
        <v>711</v>
      </c>
      <c r="C46" s="589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81" zoomScaleNormal="81" zoomScalePageLayoutView="0" workbookViewId="0" topLeftCell="A1">
      <selection activeCell="A26" sqref="A2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5" t="s">
        <v>509</v>
      </c>
      <c r="B1" s="79"/>
      <c r="C1" s="79"/>
      <c r="D1" s="79"/>
      <c r="E1" s="276" t="s">
        <v>103</v>
      </c>
    </row>
    <row r="2" spans="1:5" ht="12.75">
      <c r="A2" s="79"/>
      <c r="B2" s="79"/>
      <c r="C2" s="79"/>
      <c r="D2" s="79"/>
      <c r="E2" s="79"/>
    </row>
    <row r="3" spans="1:5" ht="12.75">
      <c r="A3" s="277"/>
      <c r="B3" s="278"/>
      <c r="C3" s="277"/>
      <c r="D3" s="279"/>
      <c r="E3" s="278"/>
    </row>
    <row r="4" spans="1:5" ht="15.75">
      <c r="A4" s="81" t="str">
        <f>+Z_ÖSSZEFÜGGÉSEK!A6</f>
        <v>2019. évi eredeti előirányzat BEVÉTELEK</v>
      </c>
      <c r="B4" s="280"/>
      <c r="C4" s="281"/>
      <c r="D4" s="279"/>
      <c r="E4" s="278"/>
    </row>
    <row r="5" spans="1:5" ht="12.75">
      <c r="A5" s="277"/>
      <c r="B5" s="278"/>
      <c r="C5" s="277"/>
      <c r="D5" s="279"/>
      <c r="E5" s="278"/>
    </row>
    <row r="6" spans="1:5" ht="12.75">
      <c r="A6" s="277" t="s">
        <v>452</v>
      </c>
      <c r="B6" s="278">
        <f>+'Z_1.1.sz.mell.'!C68</f>
        <v>1327823</v>
      </c>
      <c r="C6" s="277" t="s">
        <v>421</v>
      </c>
      <c r="D6" s="279">
        <f>+'Z_2.1.sz.mell'!C18+'Z_2.2.sz.mell'!C17</f>
        <v>1327823</v>
      </c>
      <c r="E6" s="278">
        <f>+B6-D6</f>
        <v>0</v>
      </c>
    </row>
    <row r="7" spans="1:5" ht="12.75">
      <c r="A7" s="277" t="s">
        <v>468</v>
      </c>
      <c r="B7" s="278">
        <f>+'Z_1.1.sz.mell.'!C92</f>
        <v>876390</v>
      </c>
      <c r="C7" s="277" t="s">
        <v>427</v>
      </c>
      <c r="D7" s="279">
        <f>+'Z_2.1.sz.mell'!C29+'Z_2.2.sz.mell'!C30</f>
        <v>876390</v>
      </c>
      <c r="E7" s="278">
        <f>+B7-D7</f>
        <v>0</v>
      </c>
    </row>
    <row r="8" spans="1:5" ht="12.75">
      <c r="A8" s="277" t="s">
        <v>469</v>
      </c>
      <c r="B8" s="278">
        <f>+'Z_1.1.sz.mell.'!C93</f>
        <v>2204213</v>
      </c>
      <c r="C8" s="277" t="s">
        <v>428</v>
      </c>
      <c r="D8" s="279">
        <f>+'Z_2.1.sz.mell'!C30+'Z_2.2.sz.mell'!C31</f>
        <v>2204213</v>
      </c>
      <c r="E8" s="278">
        <f>+B8-D8</f>
        <v>0</v>
      </c>
    </row>
    <row r="9" spans="1:5" ht="12.75">
      <c r="A9" s="277"/>
      <c r="B9" s="278"/>
      <c r="C9" s="277"/>
      <c r="D9" s="279"/>
      <c r="E9" s="278"/>
    </row>
    <row r="10" spans="1:5" ht="15.75">
      <c r="A10" s="81" t="str">
        <f>+Z_ÖSSZEFÜGGÉSEK!A13</f>
        <v>2019. évi módosított előirányzat BEVÉTELEK</v>
      </c>
      <c r="B10" s="280"/>
      <c r="C10" s="281"/>
      <c r="D10" s="279"/>
      <c r="E10" s="278"/>
    </row>
    <row r="11" spans="1:5" ht="12.75">
      <c r="A11" s="277"/>
      <c r="B11" s="278"/>
      <c r="C11" s="277"/>
      <c r="D11" s="279"/>
      <c r="E11" s="278"/>
    </row>
    <row r="12" spans="1:5" ht="12.75">
      <c r="A12" s="277" t="s">
        <v>453</v>
      </c>
      <c r="B12" s="278">
        <f>+'Z_1.1.sz.mell.'!D68</f>
        <v>1382571</v>
      </c>
      <c r="C12" s="277" t="s">
        <v>422</v>
      </c>
      <c r="D12" s="279">
        <f>+'Z_2.1.sz.mell'!D18+'Z_2.2.sz.mell'!D17</f>
        <v>1382571</v>
      </c>
      <c r="E12" s="278">
        <f>+B12-D12</f>
        <v>0</v>
      </c>
    </row>
    <row r="13" spans="1:5" ht="12.75">
      <c r="A13" s="277" t="s">
        <v>454</v>
      </c>
      <c r="B13" s="278">
        <f>+'Z_1.1.sz.mell.'!D92</f>
        <v>895071</v>
      </c>
      <c r="C13" s="277" t="s">
        <v>429</v>
      </c>
      <c r="D13" s="279">
        <f>+'Z_2.1.sz.mell'!D29+'Z_2.2.sz.mell'!D30</f>
        <v>895071</v>
      </c>
      <c r="E13" s="278">
        <f>+B13-D13</f>
        <v>0</v>
      </c>
    </row>
    <row r="14" spans="1:5" ht="12.75">
      <c r="A14" s="277" t="s">
        <v>455</v>
      </c>
      <c r="B14" s="278">
        <f>+'Z_1.1.sz.mell.'!D93</f>
        <v>2277642</v>
      </c>
      <c r="C14" s="277" t="s">
        <v>430</v>
      </c>
      <c r="D14" s="279">
        <f>+'Z_2.1.sz.mell'!D30+'Z_2.2.sz.mell'!D31</f>
        <v>2277642</v>
      </c>
      <c r="E14" s="278">
        <f>+B14-D14</f>
        <v>0</v>
      </c>
    </row>
    <row r="15" spans="1:5" ht="12.75">
      <c r="A15" s="277"/>
      <c r="B15" s="278"/>
      <c r="C15" s="277"/>
      <c r="D15" s="279"/>
      <c r="E15" s="278"/>
    </row>
    <row r="16" spans="1:5" ht="14.25">
      <c r="A16" s="282" t="str">
        <f>+Z_ÖSSZEFÜGGÉSEK!A19</f>
        <v>2019.évi teljesített BEVÉTELEK</v>
      </c>
      <c r="B16" s="80"/>
      <c r="C16" s="281"/>
      <c r="D16" s="279"/>
      <c r="E16" s="278"/>
    </row>
    <row r="17" spans="1:5" ht="12.75">
      <c r="A17" s="277"/>
      <c r="B17" s="278"/>
      <c r="C17" s="277"/>
      <c r="D17" s="279"/>
      <c r="E17" s="278"/>
    </row>
    <row r="18" spans="1:5" ht="12.75">
      <c r="A18" s="277" t="s">
        <v>456</v>
      </c>
      <c r="B18" s="278">
        <f>+'Z_1.1.sz.mell.'!E68</f>
        <v>1381278</v>
      </c>
      <c r="C18" s="277" t="s">
        <v>423</v>
      </c>
      <c r="D18" s="279">
        <f>+'Z_2.1.sz.mell'!E18+'Z_2.2.sz.mell'!E17</f>
        <v>1381278</v>
      </c>
      <c r="E18" s="278">
        <f>+B18-D18</f>
        <v>0</v>
      </c>
    </row>
    <row r="19" spans="1:5" ht="12.75">
      <c r="A19" s="277" t="s">
        <v>457</v>
      </c>
      <c r="B19" s="278">
        <f>+'Z_1.1.sz.mell.'!E92</f>
        <v>895071</v>
      </c>
      <c r="C19" s="277" t="s">
        <v>431</v>
      </c>
      <c r="D19" s="279">
        <f>+'Z_2.1.sz.mell'!E29+'Z_2.2.sz.mell'!E30</f>
        <v>895071</v>
      </c>
      <c r="E19" s="278">
        <f>+B19-D19</f>
        <v>0</v>
      </c>
    </row>
    <row r="20" spans="1:5" ht="12.75">
      <c r="A20" s="277" t="s">
        <v>458</v>
      </c>
      <c r="B20" s="278">
        <f>+'Z_1.1.sz.mell.'!E93</f>
        <v>2276349</v>
      </c>
      <c r="C20" s="277" t="s">
        <v>432</v>
      </c>
      <c r="D20" s="279">
        <f>+'Z_2.1.sz.mell'!E30+'Z_2.2.sz.mell'!E31</f>
        <v>2276349</v>
      </c>
      <c r="E20" s="278">
        <f>+B20-D20</f>
        <v>0</v>
      </c>
    </row>
    <row r="21" spans="1:5" ht="12.75">
      <c r="A21" s="277"/>
      <c r="B21" s="278"/>
      <c r="C21" s="277"/>
      <c r="D21" s="279"/>
      <c r="E21" s="278"/>
    </row>
    <row r="22" spans="1:5" ht="15.75">
      <c r="A22" s="81" t="str">
        <f>+Z_ÖSSZEFÜGGÉSEK!A25</f>
        <v>2019. évi eredeti előirányzat KIADÁSOK</v>
      </c>
      <c r="B22" s="280"/>
      <c r="C22" s="281"/>
      <c r="D22" s="279"/>
      <c r="E22" s="278"/>
    </row>
    <row r="23" spans="1:5" ht="12.75">
      <c r="A23" s="277"/>
      <c r="B23" s="278"/>
      <c r="C23" s="277"/>
      <c r="D23" s="279"/>
      <c r="E23" s="278"/>
    </row>
    <row r="24" spans="1:5" ht="12.75">
      <c r="A24" s="277" t="s">
        <v>470</v>
      </c>
      <c r="B24" s="278">
        <f>+'Z_1.1.sz.mell.'!C135</f>
        <v>2187707</v>
      </c>
      <c r="C24" s="277" t="s">
        <v>424</v>
      </c>
      <c r="D24" s="279">
        <f>+'Z_2.1.sz.mell'!G18+'Z_2.2.sz.mell'!G17</f>
        <v>2187707</v>
      </c>
      <c r="E24" s="278">
        <f>+B24-D24</f>
        <v>0</v>
      </c>
    </row>
    <row r="25" spans="1:5" ht="12.75">
      <c r="A25" s="277" t="s">
        <v>460</v>
      </c>
      <c r="B25" s="278">
        <f>+'Z_1.1.sz.mell.'!C160</f>
        <v>16506</v>
      </c>
      <c r="C25" s="277" t="s">
        <v>433</v>
      </c>
      <c r="D25" s="279">
        <f>+'Z_2.1.sz.mell'!G29+'Z_2.2.sz.mell'!G30</f>
        <v>16506</v>
      </c>
      <c r="E25" s="278">
        <f>+B25-D25</f>
        <v>0</v>
      </c>
    </row>
    <row r="26" spans="1:5" ht="12.75">
      <c r="A26" s="277" t="s">
        <v>461</v>
      </c>
      <c r="B26" s="278">
        <f>+'Z_1.1.sz.mell.'!C161</f>
        <v>2204213</v>
      </c>
      <c r="C26" s="277" t="s">
        <v>434</v>
      </c>
      <c r="D26" s="279">
        <f>+'Z_2.1.sz.mell'!G30+'Z_2.2.sz.mell'!G31</f>
        <v>2204213</v>
      </c>
      <c r="E26" s="278">
        <f>+B26-D26</f>
        <v>0</v>
      </c>
    </row>
    <row r="27" spans="1:5" ht="12.75">
      <c r="A27" s="277"/>
      <c r="B27" s="278"/>
      <c r="C27" s="277"/>
      <c r="D27" s="279"/>
      <c r="E27" s="278"/>
    </row>
    <row r="28" spans="1:5" ht="15.75">
      <c r="A28" s="81" t="str">
        <f>+Z_ÖSSZEFÜGGÉSEK!A31</f>
        <v>2019. évi módosított előirányzat KIADÁSOK</v>
      </c>
      <c r="B28" s="280"/>
      <c r="C28" s="281"/>
      <c r="D28" s="279"/>
      <c r="E28" s="278"/>
    </row>
    <row r="29" spans="1:5" ht="12.75">
      <c r="A29" s="277"/>
      <c r="B29" s="278"/>
      <c r="C29" s="277"/>
      <c r="D29" s="279"/>
      <c r="E29" s="278"/>
    </row>
    <row r="30" spans="1:5" ht="12.75">
      <c r="A30" s="277" t="s">
        <v>462</v>
      </c>
      <c r="B30" s="278">
        <f>+'Z_1.1.sz.mell.'!D135</f>
        <v>2261112</v>
      </c>
      <c r="C30" s="277" t="s">
        <v>425</v>
      </c>
      <c r="D30" s="279">
        <f>+'Z_2.1.sz.mell'!H18+'Z_2.2.sz.mell'!H17</f>
        <v>2261112</v>
      </c>
      <c r="E30" s="278">
        <f>+B30-D30</f>
        <v>0</v>
      </c>
    </row>
    <row r="31" spans="1:5" ht="12.75">
      <c r="A31" s="277" t="s">
        <v>463</v>
      </c>
      <c r="B31" s="278">
        <f>+'Z_1.1.sz.mell.'!D160</f>
        <v>16530</v>
      </c>
      <c r="C31" s="277" t="s">
        <v>435</v>
      </c>
      <c r="D31" s="279">
        <f>+'Z_2.1.sz.mell'!H29+'Z_2.2.sz.mell'!H30</f>
        <v>16530</v>
      </c>
      <c r="E31" s="278">
        <f>+B31-D31</f>
        <v>0</v>
      </c>
    </row>
    <row r="32" spans="1:5" ht="12.75">
      <c r="A32" s="277" t="s">
        <v>464</v>
      </c>
      <c r="B32" s="278">
        <f>+'Z_1.1.sz.mell.'!D161</f>
        <v>2277642</v>
      </c>
      <c r="C32" s="277" t="s">
        <v>436</v>
      </c>
      <c r="D32" s="279">
        <f>+'Z_2.1.sz.mell'!H30+'Z_2.2.sz.mell'!H31</f>
        <v>2277642</v>
      </c>
      <c r="E32" s="278">
        <f>+B32-D32</f>
        <v>0</v>
      </c>
    </row>
    <row r="33" spans="1:5" ht="12.75">
      <c r="A33" s="277"/>
      <c r="B33" s="278"/>
      <c r="C33" s="277"/>
      <c r="D33" s="279"/>
      <c r="E33" s="278"/>
    </row>
    <row r="34" spans="1:5" ht="15.75">
      <c r="A34" s="283" t="str">
        <f>+Z_ÖSSZEFÜGGÉSEK!A37</f>
        <v>2019.évi teljesített KIADÁSOK</v>
      </c>
      <c r="B34" s="280"/>
      <c r="C34" s="281"/>
      <c r="D34" s="279"/>
      <c r="E34" s="278"/>
    </row>
    <row r="35" spans="1:5" ht="12.75">
      <c r="A35" s="277"/>
      <c r="B35" s="278"/>
      <c r="C35" s="277"/>
      <c r="D35" s="279"/>
      <c r="E35" s="278"/>
    </row>
    <row r="36" spans="1:5" ht="12.75">
      <c r="A36" s="277" t="s">
        <v>465</v>
      </c>
      <c r="B36" s="278">
        <f>+'Z_1.1.sz.mell.'!E135</f>
        <v>1748988</v>
      </c>
      <c r="C36" s="277" t="s">
        <v>426</v>
      </c>
      <c r="D36" s="279">
        <f>+'Z_2.1.sz.mell'!I18+'Z_2.2.sz.mell'!I17</f>
        <v>1748988</v>
      </c>
      <c r="E36" s="278">
        <f>+B36-D36</f>
        <v>0</v>
      </c>
    </row>
    <row r="37" spans="1:5" ht="12.75">
      <c r="A37" s="277" t="s">
        <v>466</v>
      </c>
      <c r="B37" s="278">
        <f>+'Z_1.1.sz.mell.'!E160</f>
        <v>16530</v>
      </c>
      <c r="C37" s="277" t="s">
        <v>437</v>
      </c>
      <c r="D37" s="279">
        <f>+'Z_2.1.sz.mell'!I29+'Z_2.2.sz.mell'!I30</f>
        <v>16530</v>
      </c>
      <c r="E37" s="278">
        <f>+B37-D37</f>
        <v>0</v>
      </c>
    </row>
    <row r="38" spans="1:5" ht="12.75">
      <c r="A38" s="277" t="s">
        <v>471</v>
      </c>
      <c r="B38" s="278">
        <f>+'Z_1.1.sz.mell.'!E161</f>
        <v>1765518</v>
      </c>
      <c r="C38" s="277" t="s">
        <v>438</v>
      </c>
      <c r="D38" s="279">
        <f>+'Z_2.1.sz.mell'!I30+'Z_2.2.sz.mell'!I31</f>
        <v>1765518</v>
      </c>
      <c r="E38" s="278">
        <f>+B38-D38</f>
        <v>0</v>
      </c>
    </row>
  </sheetData>
  <sheetProtection/>
  <conditionalFormatting sqref="E3:E15">
    <cfRule type="cellIs" priority="2" dxfId="7" operator="notEqual" stopIfTrue="1">
      <formula>0</formula>
    </cfRule>
  </conditionalFormatting>
  <conditionalFormatting sqref="E3:E38">
    <cfRule type="cellIs" priority="1" dxfId="7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="120" zoomScaleNormal="120" workbookViewId="0" topLeftCell="A19">
      <selection activeCell="M10" sqref="M10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2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7"/>
      <c r="B1" s="925" t="str">
        <f>CONCATENATE("3. melléklet ",Z_ALAPADATOK!A7," ",Z_ALAPADATOK!B7," ",Z_ALAPADATOK!C7," ",Z_ALAPADATOK!D7," ",Z_ALAPADATOK!E7," ",Z_ALAPADATOK!F7," ",Z_ALAPADATOK!G7," ",Z_ALAPADATOK!H7)</f>
        <v>3. melléklet a … / 2020. ( … ) önkormányzati rendelethez</v>
      </c>
      <c r="C1" s="926"/>
      <c r="D1" s="926"/>
      <c r="E1" s="926"/>
      <c r="F1" s="926"/>
      <c r="G1" s="926"/>
    </row>
    <row r="2" spans="1:7" ht="12.75">
      <c r="A2" s="337"/>
      <c r="B2" s="338"/>
      <c r="C2" s="338"/>
      <c r="D2" s="338"/>
      <c r="E2" s="338"/>
      <c r="F2" s="338"/>
      <c r="G2" s="338"/>
    </row>
    <row r="3" spans="1:7" ht="25.5" customHeight="1">
      <c r="A3" s="924" t="s">
        <v>510</v>
      </c>
      <c r="B3" s="924"/>
      <c r="C3" s="924"/>
      <c r="D3" s="924"/>
      <c r="E3" s="924"/>
      <c r="F3" s="924"/>
      <c r="G3" s="924"/>
    </row>
    <row r="4" spans="1:7" ht="22.5" customHeight="1" thickBot="1">
      <c r="A4" s="337"/>
      <c r="B4" s="338"/>
      <c r="C4" s="338"/>
      <c r="D4" s="338"/>
      <c r="E4" s="338"/>
      <c r="F4" s="338"/>
      <c r="G4" s="339" t="str">
        <f>'Z_2.2.sz.mell'!I2</f>
        <v>e  Forintban!</v>
      </c>
    </row>
    <row r="5" spans="1:7" s="29" customFormat="1" ht="44.25" customHeight="1" thickBot="1">
      <c r="A5" s="340" t="s">
        <v>47</v>
      </c>
      <c r="B5" s="312" t="s">
        <v>48</v>
      </c>
      <c r="C5" s="312" t="s">
        <v>49</v>
      </c>
      <c r="D5" s="312" t="str">
        <f>+CONCATENATE("Felhasználás   ",LEFT(Z_ÖSSZEFÜGGÉSEK!A6,4)-1,". XII. 31-ig")</f>
        <v>Felhasználás   2018. XII. 31-ig</v>
      </c>
      <c r="E5" s="312" t="str">
        <f>+CONCATENATE(LEFT(Z_ÖSSZEFÜGGÉSEK!A6,4),". évi",CHAR(10),"módosított előirányzat")</f>
        <v>2019. évi
módosított előirányzat</v>
      </c>
      <c r="F5" s="312" t="str">
        <f>+CONCATENATE("Teljesítés",CHAR(10),LEFT(Z_ÖSSZEFÜGGÉSEK!A6,4),". I. 1-től XII.31-ig")</f>
        <v>Teljesítés
2019. I. 1-től XII.31-ig</v>
      </c>
      <c r="G5" s="313" t="str">
        <f>+CONCATENATE("Összes teljesítés",CHAR(10),LEFT(Z_ÖSSZEFÜGGÉSEK!A6,4),". XII. 31-ig")</f>
        <v>Összes teljesítés
2019. XII. 31-ig</v>
      </c>
    </row>
    <row r="6" spans="1:7" s="32" customFormat="1" ht="12" customHeight="1" thickBot="1">
      <c r="A6" s="341" t="s">
        <v>382</v>
      </c>
      <c r="B6" s="342" t="s">
        <v>383</v>
      </c>
      <c r="C6" s="342" t="s">
        <v>384</v>
      </c>
      <c r="D6" s="342" t="s">
        <v>386</v>
      </c>
      <c r="E6" s="342" t="s">
        <v>385</v>
      </c>
      <c r="F6" s="342" t="s">
        <v>387</v>
      </c>
      <c r="G6" s="343" t="s">
        <v>439</v>
      </c>
    </row>
    <row r="7" spans="1:7" ht="22.5">
      <c r="A7" s="223" t="s">
        <v>763</v>
      </c>
      <c r="B7" s="21">
        <v>1000</v>
      </c>
      <c r="C7" s="224" t="s">
        <v>789</v>
      </c>
      <c r="D7" s="21"/>
      <c r="E7" s="21">
        <v>0</v>
      </c>
      <c r="F7" s="21"/>
      <c r="G7" s="33">
        <f>D7+F7</f>
        <v>0</v>
      </c>
    </row>
    <row r="8" spans="1:7" ht="22.5">
      <c r="A8" s="223" t="s">
        <v>764</v>
      </c>
      <c r="B8" s="21">
        <v>1500</v>
      </c>
      <c r="C8" s="224" t="s">
        <v>789</v>
      </c>
      <c r="D8" s="21"/>
      <c r="E8" s="21">
        <v>865</v>
      </c>
      <c r="F8" s="21">
        <v>865</v>
      </c>
      <c r="G8" s="33">
        <f aca="true" t="shared" si="0" ref="G8:G34">D8+F8</f>
        <v>865</v>
      </c>
    </row>
    <row r="9" spans="1:7" ht="15.75" customHeight="1">
      <c r="A9" s="223" t="s">
        <v>765</v>
      </c>
      <c r="B9" s="21">
        <v>1500</v>
      </c>
      <c r="C9" s="224" t="s">
        <v>789</v>
      </c>
      <c r="D9" s="21"/>
      <c r="E9" s="21">
        <v>1460</v>
      </c>
      <c r="F9" s="21">
        <v>1460</v>
      </c>
      <c r="G9" s="33">
        <f t="shared" si="0"/>
        <v>1460</v>
      </c>
    </row>
    <row r="10" spans="1:7" ht="12.75">
      <c r="A10" s="859" t="s">
        <v>766</v>
      </c>
      <c r="B10" s="21">
        <v>3500</v>
      </c>
      <c r="C10" s="224" t="s">
        <v>789</v>
      </c>
      <c r="D10" s="21"/>
      <c r="E10" s="21">
        <v>606</v>
      </c>
      <c r="F10" s="21">
        <v>500</v>
      </c>
      <c r="G10" s="33">
        <f t="shared" si="0"/>
        <v>500</v>
      </c>
    </row>
    <row r="11" spans="1:7" ht="15.75" customHeight="1">
      <c r="A11" s="223" t="s">
        <v>767</v>
      </c>
      <c r="B11" s="21">
        <v>1200</v>
      </c>
      <c r="C11" s="224" t="s">
        <v>789</v>
      </c>
      <c r="D11" s="21"/>
      <c r="E11" s="21">
        <v>1200</v>
      </c>
      <c r="F11" s="21">
        <v>1011</v>
      </c>
      <c r="G11" s="33">
        <f t="shared" si="0"/>
        <v>1011</v>
      </c>
    </row>
    <row r="12" spans="1:7" ht="15.75" customHeight="1">
      <c r="A12" s="859" t="s">
        <v>768</v>
      </c>
      <c r="B12" s="21">
        <v>7000</v>
      </c>
      <c r="C12" s="224" t="s">
        <v>790</v>
      </c>
      <c r="D12" s="21">
        <v>1400</v>
      </c>
      <c r="E12" s="21">
        <v>5600</v>
      </c>
      <c r="F12" s="21">
        <v>5600</v>
      </c>
      <c r="G12" s="33">
        <f t="shared" si="0"/>
        <v>7000</v>
      </c>
    </row>
    <row r="13" spans="1:7" ht="15.75" customHeight="1">
      <c r="A13" s="223" t="s">
        <v>769</v>
      </c>
      <c r="B13" s="21">
        <v>25000</v>
      </c>
      <c r="C13" s="224" t="s">
        <v>789</v>
      </c>
      <c r="D13" s="21"/>
      <c r="E13" s="21">
        <v>25000</v>
      </c>
      <c r="F13" s="21">
        <v>25000</v>
      </c>
      <c r="G13" s="33">
        <f t="shared" si="0"/>
        <v>25000</v>
      </c>
    </row>
    <row r="14" spans="1:7" ht="15.75" customHeight="1">
      <c r="A14" s="223" t="s">
        <v>770</v>
      </c>
      <c r="B14" s="21">
        <v>6096</v>
      </c>
      <c r="C14" s="224" t="s">
        <v>789</v>
      </c>
      <c r="D14" s="21"/>
      <c r="E14" s="21">
        <v>0</v>
      </c>
      <c r="F14" s="21"/>
      <c r="G14" s="33">
        <f t="shared" si="0"/>
        <v>0</v>
      </c>
    </row>
    <row r="15" spans="1:7" ht="15.75" customHeight="1">
      <c r="A15" s="223" t="s">
        <v>771</v>
      </c>
      <c r="B15" s="21">
        <v>236521</v>
      </c>
      <c r="C15" s="224" t="s">
        <v>790</v>
      </c>
      <c r="D15" s="21">
        <v>63251</v>
      </c>
      <c r="E15" s="21">
        <v>177681</v>
      </c>
      <c r="F15" s="21">
        <v>177681</v>
      </c>
      <c r="G15" s="33">
        <f t="shared" si="0"/>
        <v>240932</v>
      </c>
    </row>
    <row r="16" spans="1:7" ht="15.75" customHeight="1">
      <c r="A16" s="223" t="s">
        <v>772</v>
      </c>
      <c r="B16" s="21">
        <v>488766</v>
      </c>
      <c r="C16" s="224" t="s">
        <v>791</v>
      </c>
      <c r="D16" s="21">
        <v>25521</v>
      </c>
      <c r="E16" s="21">
        <v>182653</v>
      </c>
      <c r="F16" s="21">
        <v>182653</v>
      </c>
      <c r="G16" s="33">
        <f t="shared" si="0"/>
        <v>208174</v>
      </c>
    </row>
    <row r="17" spans="1:7" ht="15.75" customHeight="1">
      <c r="A17" s="223" t="s">
        <v>773</v>
      </c>
      <c r="B17" s="21">
        <v>17886</v>
      </c>
      <c r="C17" s="224" t="s">
        <v>790</v>
      </c>
      <c r="D17" s="21">
        <v>413</v>
      </c>
      <c r="E17" s="21">
        <v>17473</v>
      </c>
      <c r="F17" s="21">
        <v>17473</v>
      </c>
      <c r="G17" s="33">
        <f t="shared" si="0"/>
        <v>17886</v>
      </c>
    </row>
    <row r="18" spans="1:7" ht="15.75" customHeight="1">
      <c r="A18" s="223" t="s">
        <v>774</v>
      </c>
      <c r="B18" s="21">
        <v>446255</v>
      </c>
      <c r="C18" s="224" t="s">
        <v>792</v>
      </c>
      <c r="D18" s="21">
        <v>364183</v>
      </c>
      <c r="E18" s="21">
        <v>102234</v>
      </c>
      <c r="F18" s="21">
        <v>102234</v>
      </c>
      <c r="G18" s="33">
        <f t="shared" si="0"/>
        <v>466417</v>
      </c>
    </row>
    <row r="19" spans="1:7" ht="15.75" customHeight="1">
      <c r="A19" s="223" t="s">
        <v>775</v>
      </c>
      <c r="B19" s="21">
        <v>800</v>
      </c>
      <c r="C19" s="224" t="s">
        <v>789</v>
      </c>
      <c r="D19" s="21"/>
      <c r="E19" s="21">
        <v>800</v>
      </c>
      <c r="F19" s="21">
        <v>460</v>
      </c>
      <c r="G19" s="33"/>
    </row>
    <row r="20" spans="1:7" ht="15.75" customHeight="1">
      <c r="A20" s="223" t="s">
        <v>776</v>
      </c>
      <c r="B20" s="21">
        <v>1635</v>
      </c>
      <c r="C20" s="224" t="s">
        <v>789</v>
      </c>
      <c r="D20" s="21"/>
      <c r="E20" s="21">
        <v>1635</v>
      </c>
      <c r="F20" s="21">
        <v>1635</v>
      </c>
      <c r="G20" s="33"/>
    </row>
    <row r="21" spans="1:7" ht="22.5">
      <c r="A21" s="223" t="s">
        <v>777</v>
      </c>
      <c r="B21" s="21">
        <v>400</v>
      </c>
      <c r="C21" s="224" t="s">
        <v>789</v>
      </c>
      <c r="D21" s="21"/>
      <c r="E21" s="21">
        <v>400</v>
      </c>
      <c r="F21" s="21">
        <v>400</v>
      </c>
      <c r="G21" s="33"/>
    </row>
    <row r="22" spans="1:7" ht="15.75" customHeight="1">
      <c r="A22" s="223" t="s">
        <v>778</v>
      </c>
      <c r="B22" s="21">
        <v>1000</v>
      </c>
      <c r="C22" s="224" t="s">
        <v>789</v>
      </c>
      <c r="D22" s="21"/>
      <c r="E22" s="21">
        <v>999</v>
      </c>
      <c r="F22" s="21">
        <v>999</v>
      </c>
      <c r="G22" s="33">
        <f t="shared" si="0"/>
        <v>999</v>
      </c>
    </row>
    <row r="23" spans="1:7" ht="15.75" customHeight="1">
      <c r="A23" s="223" t="s">
        <v>779</v>
      </c>
      <c r="B23" s="21">
        <v>254</v>
      </c>
      <c r="C23" s="224" t="s">
        <v>789</v>
      </c>
      <c r="D23" s="21"/>
      <c r="E23" s="21">
        <v>297</v>
      </c>
      <c r="F23" s="21">
        <v>296</v>
      </c>
      <c r="G23" s="33">
        <f t="shared" si="0"/>
        <v>296</v>
      </c>
    </row>
    <row r="24" spans="1:7" ht="22.5">
      <c r="A24" s="223" t="s">
        <v>780</v>
      </c>
      <c r="B24" s="21">
        <v>2150</v>
      </c>
      <c r="C24" s="224" t="s">
        <v>789</v>
      </c>
      <c r="D24" s="21"/>
      <c r="E24" s="21">
        <v>1879</v>
      </c>
      <c r="F24" s="21">
        <v>1878</v>
      </c>
      <c r="G24" s="33">
        <f t="shared" si="0"/>
        <v>1878</v>
      </c>
    </row>
    <row r="25" spans="1:7" ht="15.75" customHeight="1">
      <c r="A25" s="223" t="s">
        <v>781</v>
      </c>
      <c r="B25" s="21">
        <v>300</v>
      </c>
      <c r="C25" s="224" t="s">
        <v>789</v>
      </c>
      <c r="D25" s="21"/>
      <c r="E25" s="21">
        <v>0</v>
      </c>
      <c r="F25" s="21"/>
      <c r="G25" s="33"/>
    </row>
    <row r="26" spans="1:7" ht="15.75" customHeight="1">
      <c r="A26" s="223" t="s">
        <v>782</v>
      </c>
      <c r="B26" s="21">
        <v>460</v>
      </c>
      <c r="C26" s="224" t="s">
        <v>789</v>
      </c>
      <c r="D26" s="21"/>
      <c r="E26" s="21">
        <v>460</v>
      </c>
      <c r="F26" s="21">
        <v>461</v>
      </c>
      <c r="G26" s="33"/>
    </row>
    <row r="27" spans="1:7" ht="15.75" customHeight="1">
      <c r="A27" s="223" t="s">
        <v>783</v>
      </c>
      <c r="B27" s="21">
        <v>3170</v>
      </c>
      <c r="C27" s="224" t="s">
        <v>789</v>
      </c>
      <c r="D27" s="21"/>
      <c r="E27" s="21">
        <v>1327</v>
      </c>
      <c r="F27" s="21">
        <v>1327</v>
      </c>
      <c r="G27" s="33"/>
    </row>
    <row r="28" spans="1:7" ht="15.75" customHeight="1">
      <c r="A28" s="223" t="s">
        <v>784</v>
      </c>
      <c r="B28" s="21">
        <v>1843</v>
      </c>
      <c r="C28" s="224" t="s">
        <v>789</v>
      </c>
      <c r="D28" s="21"/>
      <c r="E28" s="21">
        <v>1843</v>
      </c>
      <c r="F28" s="21">
        <v>1843</v>
      </c>
      <c r="G28" s="33"/>
    </row>
    <row r="29" spans="1:7" ht="15.75" customHeight="1">
      <c r="A29" s="223" t="s">
        <v>785</v>
      </c>
      <c r="B29" s="21">
        <v>1634</v>
      </c>
      <c r="C29" s="224" t="s">
        <v>789</v>
      </c>
      <c r="D29" s="21"/>
      <c r="E29" s="21">
        <v>1634</v>
      </c>
      <c r="F29" s="21">
        <v>1634</v>
      </c>
      <c r="G29" s="33">
        <f t="shared" si="0"/>
        <v>1634</v>
      </c>
    </row>
    <row r="30" spans="1:7" ht="15.75" customHeight="1">
      <c r="A30" s="223" t="s">
        <v>786</v>
      </c>
      <c r="B30" s="21">
        <v>13406</v>
      </c>
      <c r="C30" s="224" t="s">
        <v>789</v>
      </c>
      <c r="D30" s="21"/>
      <c r="E30" s="21">
        <v>13406</v>
      </c>
      <c r="F30" s="21">
        <v>13407</v>
      </c>
      <c r="G30" s="33">
        <f t="shared" si="0"/>
        <v>13407</v>
      </c>
    </row>
    <row r="31" spans="1:7" ht="22.5">
      <c r="A31" s="223" t="s">
        <v>787</v>
      </c>
      <c r="B31" s="21">
        <v>598</v>
      </c>
      <c r="C31" s="224" t="s">
        <v>789</v>
      </c>
      <c r="D31" s="21"/>
      <c r="E31" s="21">
        <v>598</v>
      </c>
      <c r="F31" s="21">
        <v>598</v>
      </c>
      <c r="G31" s="33">
        <f t="shared" si="0"/>
        <v>598</v>
      </c>
    </row>
    <row r="32" spans="1:7" ht="15.75" customHeight="1">
      <c r="A32" s="223" t="s">
        <v>788</v>
      </c>
      <c r="B32" s="21">
        <v>405</v>
      </c>
      <c r="C32" s="224" t="s">
        <v>789</v>
      </c>
      <c r="D32" s="21"/>
      <c r="E32" s="21">
        <v>405</v>
      </c>
      <c r="F32" s="21">
        <v>405</v>
      </c>
      <c r="G32" s="33">
        <f t="shared" si="0"/>
        <v>405</v>
      </c>
    </row>
    <row r="33" spans="1:7" ht="15.75" customHeight="1">
      <c r="A33" s="690" t="s">
        <v>793</v>
      </c>
      <c r="B33" s="21">
        <v>68</v>
      </c>
      <c r="C33" s="224" t="s">
        <v>789</v>
      </c>
      <c r="D33" s="21"/>
      <c r="E33" s="21"/>
      <c r="F33" s="21">
        <v>68</v>
      </c>
      <c r="G33" s="33">
        <f t="shared" si="0"/>
        <v>68</v>
      </c>
    </row>
    <row r="34" spans="1:7" ht="15.75" customHeight="1" thickBot="1">
      <c r="A34" s="34"/>
      <c r="B34" s="22"/>
      <c r="C34" s="225"/>
      <c r="D34" s="22"/>
      <c r="E34" s="22"/>
      <c r="F34" s="22"/>
      <c r="G34" s="35">
        <f t="shared" si="0"/>
        <v>0</v>
      </c>
    </row>
    <row r="35" spans="1:7" s="38" customFormat="1" ht="18" customHeight="1" thickBot="1">
      <c r="A35" s="860" t="s">
        <v>46</v>
      </c>
      <c r="B35" s="36">
        <f>SUM(B7:B34)</f>
        <v>1264347</v>
      </c>
      <c r="C35" s="53"/>
      <c r="D35" s="36">
        <f>SUM(D7:D34)</f>
        <v>454768</v>
      </c>
      <c r="E35" s="36"/>
      <c r="F35" s="36">
        <f>SUM(F7:F34)</f>
        <v>539888</v>
      </c>
      <c r="G35" s="37">
        <f>SUM(G7:G34)</f>
        <v>988530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="96" zoomScaleNormal="96" workbookViewId="0" topLeftCell="A7">
      <selection activeCell="P17" sqref="P17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7"/>
      <c r="B1" s="925" t="str">
        <f>CONCATENATE("4. melléklet ",Z_ALAPADATOK!A7," ",Z_ALAPADATOK!B7," ",Z_ALAPADATOK!C7," ",Z_ALAPADATOK!D7," ",Z_ALAPADATOK!E7," ",Z_ALAPADATOK!F7," ",Z_ALAPADATOK!G7," ",Z_ALAPADATOK!H7)</f>
        <v>4. melléklet a … / 2020. ( … ) önkormányzati rendelethez</v>
      </c>
      <c r="C1" s="925"/>
      <c r="D1" s="925"/>
      <c r="E1" s="925"/>
      <c r="F1" s="925"/>
      <c r="G1" s="925"/>
    </row>
    <row r="2" spans="1:7" ht="12.75">
      <c r="A2" s="337"/>
      <c r="B2" s="338"/>
      <c r="C2" s="338"/>
      <c r="D2" s="338"/>
      <c r="E2" s="338"/>
      <c r="F2" s="338"/>
      <c r="G2" s="338"/>
    </row>
    <row r="3" spans="1:7" ht="24.75" customHeight="1">
      <c r="A3" s="924" t="s">
        <v>511</v>
      </c>
      <c r="B3" s="924"/>
      <c r="C3" s="924"/>
      <c r="D3" s="924"/>
      <c r="E3" s="924"/>
      <c r="F3" s="924"/>
      <c r="G3" s="924"/>
    </row>
    <row r="4" spans="1:7" ht="23.25" customHeight="1" thickBot="1">
      <c r="A4" s="337"/>
      <c r="B4" s="338"/>
      <c r="C4" s="338"/>
      <c r="D4" s="338"/>
      <c r="E4" s="338"/>
      <c r="F4" s="338"/>
      <c r="G4" s="339" t="str">
        <f>'Z_3.sz.mell.'!G4</f>
        <v>e  Forintban!</v>
      </c>
    </row>
    <row r="5" spans="1:7" s="29" customFormat="1" ht="48.75" customHeight="1" thickBot="1">
      <c r="A5" s="340" t="s">
        <v>50</v>
      </c>
      <c r="B5" s="312" t="s">
        <v>48</v>
      </c>
      <c r="C5" s="312" t="s">
        <v>49</v>
      </c>
      <c r="D5" s="312" t="str">
        <f>+'Z_3.sz.mell.'!D5</f>
        <v>Felhasználás   2018. XII. 31-ig</v>
      </c>
      <c r="E5" s="312" t="str">
        <f>+CONCATENATE(LEFT(Z_ÖSSZEFÜGGÉSEK!A6,4),". évi",CHAR(10),"módosított előirányzat")</f>
        <v>2019. évi
módosított előirányzat</v>
      </c>
      <c r="F5" s="312" t="str">
        <f>+CONCATENATE("Teljesítés",CHAR(10),LEFT(Z_ÖSSZEFÜGGÉSEK!A6,4),". I. 1-től XII. 31-ig")</f>
        <v>Teljesítés
2019. I. 1-től XII. 31-ig</v>
      </c>
      <c r="G5" s="313" t="str">
        <f>+CONCATENATE("Összes teljesítés",CHAR(10),LEFT(Z_ÖSSZEFÜGGÉSEK!A6,4),". XII. 31-ig")</f>
        <v>Összes teljesítés
2019. XII. 31-ig</v>
      </c>
    </row>
    <row r="6" spans="1:7" s="32" customFormat="1" ht="15" customHeight="1" thickBot="1">
      <c r="A6" s="341" t="s">
        <v>382</v>
      </c>
      <c r="B6" s="342" t="s">
        <v>383</v>
      </c>
      <c r="C6" s="342" t="s">
        <v>384</v>
      </c>
      <c r="D6" s="342" t="s">
        <v>386</v>
      </c>
      <c r="E6" s="342" t="s">
        <v>385</v>
      </c>
      <c r="F6" s="342" t="s">
        <v>387</v>
      </c>
      <c r="G6" s="343" t="s">
        <v>439</v>
      </c>
    </row>
    <row r="7" spans="1:7" ht="15.75" customHeight="1">
      <c r="A7" s="861" t="s">
        <v>794</v>
      </c>
      <c r="B7" s="39">
        <v>600</v>
      </c>
      <c r="C7" s="226" t="s">
        <v>789</v>
      </c>
      <c r="D7" s="39"/>
      <c r="E7" s="39">
        <v>0</v>
      </c>
      <c r="F7" s="39"/>
      <c r="G7" s="40">
        <f>D7+F7</f>
        <v>0</v>
      </c>
    </row>
    <row r="8" spans="1:7" ht="36">
      <c r="A8" s="861" t="s">
        <v>795</v>
      </c>
      <c r="B8" s="39">
        <v>3000</v>
      </c>
      <c r="C8" s="226" t="s">
        <v>789</v>
      </c>
      <c r="D8" s="39"/>
      <c r="E8" s="39">
        <v>3000</v>
      </c>
      <c r="F8" s="39">
        <v>2878</v>
      </c>
      <c r="G8" s="40">
        <f aca="true" t="shared" si="0" ref="G8:G34">D8+F8</f>
        <v>2878</v>
      </c>
    </row>
    <row r="9" spans="1:7" ht="22.5" customHeight="1">
      <c r="A9" s="861" t="s">
        <v>796</v>
      </c>
      <c r="B9" s="39">
        <v>2000</v>
      </c>
      <c r="C9" s="226" t="s">
        <v>789</v>
      </c>
      <c r="D9" s="39"/>
      <c r="E9" s="39">
        <v>1065</v>
      </c>
      <c r="F9" s="39">
        <v>1065</v>
      </c>
      <c r="G9" s="40">
        <f t="shared" si="0"/>
        <v>1065</v>
      </c>
    </row>
    <row r="10" spans="1:7" ht="15.75" customHeight="1">
      <c r="A10" s="861" t="s">
        <v>797</v>
      </c>
      <c r="B10" s="39">
        <v>2000</v>
      </c>
      <c r="C10" s="226" t="s">
        <v>789</v>
      </c>
      <c r="D10" s="39"/>
      <c r="E10" s="39">
        <v>152</v>
      </c>
      <c r="F10" s="39"/>
      <c r="G10" s="40">
        <f aca="true" t="shared" si="1" ref="G10:G17">D10+F10</f>
        <v>0</v>
      </c>
    </row>
    <row r="11" spans="1:7" ht="15.75" customHeight="1">
      <c r="A11" s="861" t="s">
        <v>798</v>
      </c>
      <c r="B11" s="39">
        <v>10000</v>
      </c>
      <c r="C11" s="226" t="s">
        <v>789</v>
      </c>
      <c r="D11" s="39"/>
      <c r="E11" s="39">
        <v>10000</v>
      </c>
      <c r="F11" s="39">
        <v>10000</v>
      </c>
      <c r="G11" s="40">
        <f t="shared" si="1"/>
        <v>10000</v>
      </c>
    </row>
    <row r="12" spans="1:7" ht="15.75" customHeight="1">
      <c r="A12" s="861" t="s">
        <v>799</v>
      </c>
      <c r="B12" s="39">
        <v>2000</v>
      </c>
      <c r="C12" s="226" t="s">
        <v>789</v>
      </c>
      <c r="D12" s="39"/>
      <c r="E12" s="39">
        <v>3300</v>
      </c>
      <c r="F12" s="39">
        <v>3300</v>
      </c>
      <c r="G12" s="40">
        <f t="shared" si="1"/>
        <v>3300</v>
      </c>
    </row>
    <row r="13" spans="1:7" ht="15.75" customHeight="1">
      <c r="A13" s="861" t="s">
        <v>800</v>
      </c>
      <c r="B13" s="39">
        <v>1024</v>
      </c>
      <c r="C13" s="226" t="s">
        <v>790</v>
      </c>
      <c r="D13" s="39">
        <v>361</v>
      </c>
      <c r="E13" s="39">
        <v>663</v>
      </c>
      <c r="F13" s="39"/>
      <c r="G13" s="40">
        <f t="shared" si="1"/>
        <v>361</v>
      </c>
    </row>
    <row r="14" spans="1:7" ht="15.75" customHeight="1">
      <c r="A14" s="861" t="s">
        <v>801</v>
      </c>
      <c r="B14" s="39">
        <v>840</v>
      </c>
      <c r="C14" s="226" t="s">
        <v>789</v>
      </c>
      <c r="D14" s="39"/>
      <c r="E14" s="39">
        <v>0</v>
      </c>
      <c r="F14" s="39"/>
      <c r="G14" s="40">
        <f t="shared" si="1"/>
        <v>0</v>
      </c>
    </row>
    <row r="15" spans="1:7" ht="15.75" customHeight="1">
      <c r="A15" s="861" t="s">
        <v>802</v>
      </c>
      <c r="B15" s="39">
        <v>570</v>
      </c>
      <c r="C15" s="226" t="s">
        <v>789</v>
      </c>
      <c r="D15" s="39"/>
      <c r="E15" s="39">
        <v>570</v>
      </c>
      <c r="F15" s="39">
        <v>569</v>
      </c>
      <c r="G15" s="40">
        <f t="shared" si="1"/>
        <v>569</v>
      </c>
    </row>
    <row r="16" spans="1:7" ht="15.75" customHeight="1">
      <c r="A16" s="861" t="s">
        <v>803</v>
      </c>
      <c r="B16" s="39">
        <v>260</v>
      </c>
      <c r="C16" s="226" t="s">
        <v>789</v>
      </c>
      <c r="D16" s="39"/>
      <c r="E16" s="39">
        <v>0</v>
      </c>
      <c r="F16" s="39"/>
      <c r="G16" s="40">
        <f t="shared" si="1"/>
        <v>0</v>
      </c>
    </row>
    <row r="17" spans="1:7" ht="15.75" customHeight="1">
      <c r="A17" s="861" t="s">
        <v>804</v>
      </c>
      <c r="B17" s="39">
        <v>140</v>
      </c>
      <c r="C17" s="226" t="s">
        <v>789</v>
      </c>
      <c r="D17" s="39"/>
      <c r="E17" s="39">
        <v>140</v>
      </c>
      <c r="F17" s="39">
        <v>138</v>
      </c>
      <c r="G17" s="40">
        <f t="shared" si="1"/>
        <v>138</v>
      </c>
    </row>
    <row r="18" spans="1:7" ht="15.75" customHeight="1">
      <c r="A18" s="861" t="s">
        <v>805</v>
      </c>
      <c r="B18" s="39">
        <v>19498</v>
      </c>
      <c r="C18" s="226" t="s">
        <v>790</v>
      </c>
      <c r="D18" s="39">
        <v>2973</v>
      </c>
      <c r="E18" s="39">
        <v>16525</v>
      </c>
      <c r="F18" s="39">
        <v>16525</v>
      </c>
      <c r="G18" s="40">
        <f t="shared" si="0"/>
        <v>19498</v>
      </c>
    </row>
    <row r="19" spans="1:7" ht="15.75" customHeight="1">
      <c r="A19" s="861" t="s">
        <v>806</v>
      </c>
      <c r="B19" s="39">
        <v>22137</v>
      </c>
      <c r="C19" s="226" t="s">
        <v>790</v>
      </c>
      <c r="D19" s="39">
        <v>7368</v>
      </c>
      <c r="E19" s="39">
        <v>14769</v>
      </c>
      <c r="F19" s="39">
        <v>14769</v>
      </c>
      <c r="G19" s="40">
        <f t="shared" si="0"/>
        <v>22137</v>
      </c>
    </row>
    <row r="20" spans="1:7" ht="24">
      <c r="A20" s="861" t="s">
        <v>807</v>
      </c>
      <c r="B20" s="39">
        <v>572</v>
      </c>
      <c r="C20" s="226" t="s">
        <v>789</v>
      </c>
      <c r="D20" s="39"/>
      <c r="E20" s="39">
        <v>572</v>
      </c>
      <c r="F20" s="39">
        <v>572</v>
      </c>
      <c r="G20" s="40">
        <f t="shared" si="0"/>
        <v>572</v>
      </c>
    </row>
    <row r="21" spans="1:7" ht="15.75" customHeight="1">
      <c r="A21" s="861" t="s">
        <v>808</v>
      </c>
      <c r="B21" s="39">
        <v>276</v>
      </c>
      <c r="C21" s="226" t="s">
        <v>789</v>
      </c>
      <c r="D21" s="39"/>
      <c r="E21" s="39">
        <v>276</v>
      </c>
      <c r="F21" s="39">
        <v>276</v>
      </c>
      <c r="G21" s="40">
        <f t="shared" si="0"/>
        <v>276</v>
      </c>
    </row>
    <row r="22" spans="1:7" ht="15.75" customHeight="1">
      <c r="A22" s="861" t="s">
        <v>809</v>
      </c>
      <c r="B22" s="39">
        <v>242</v>
      </c>
      <c r="C22" s="226" t="s">
        <v>789</v>
      </c>
      <c r="D22" s="39"/>
      <c r="E22" s="39">
        <v>242</v>
      </c>
      <c r="F22" s="39">
        <v>242</v>
      </c>
      <c r="G22" s="40">
        <f t="shared" si="0"/>
        <v>242</v>
      </c>
    </row>
    <row r="23" spans="1:7" ht="15.75" customHeight="1">
      <c r="A23" s="861" t="s">
        <v>810</v>
      </c>
      <c r="B23" s="39">
        <v>1983</v>
      </c>
      <c r="C23" s="226" t="s">
        <v>789</v>
      </c>
      <c r="D23" s="39"/>
      <c r="E23" s="39">
        <v>1983</v>
      </c>
      <c r="F23" s="39">
        <v>1983</v>
      </c>
      <c r="G23" s="40">
        <f t="shared" si="0"/>
        <v>1983</v>
      </c>
    </row>
    <row r="24" spans="1:7" ht="15.75" customHeight="1">
      <c r="A24" s="861" t="s">
        <v>811</v>
      </c>
      <c r="B24" s="39">
        <v>150</v>
      </c>
      <c r="C24" s="226" t="s">
        <v>789</v>
      </c>
      <c r="D24" s="39"/>
      <c r="E24" s="39">
        <v>150</v>
      </c>
      <c r="F24" s="39">
        <v>150</v>
      </c>
      <c r="G24" s="40">
        <f t="shared" si="0"/>
        <v>150</v>
      </c>
    </row>
    <row r="25" spans="1:7" ht="15.75" customHeight="1">
      <c r="A25" s="861" t="s">
        <v>812</v>
      </c>
      <c r="B25" s="39">
        <v>3600</v>
      </c>
      <c r="C25" s="226" t="s">
        <v>789</v>
      </c>
      <c r="D25" s="39"/>
      <c r="E25" s="39">
        <v>3585</v>
      </c>
      <c r="F25" s="39">
        <v>3585</v>
      </c>
      <c r="G25" s="40">
        <f t="shared" si="0"/>
        <v>3585</v>
      </c>
    </row>
    <row r="26" spans="1:7" ht="36">
      <c r="A26" s="861" t="s">
        <v>813</v>
      </c>
      <c r="B26" s="39">
        <v>450</v>
      </c>
      <c r="C26" s="226" t="s">
        <v>789</v>
      </c>
      <c r="D26" s="39"/>
      <c r="E26" s="39">
        <v>161</v>
      </c>
      <c r="F26" s="39"/>
      <c r="G26" s="40">
        <f t="shared" si="0"/>
        <v>0</v>
      </c>
    </row>
    <row r="27" spans="1:7" ht="15.75" customHeight="1">
      <c r="A27" s="861" t="s">
        <v>814</v>
      </c>
      <c r="B27" s="39">
        <v>800</v>
      </c>
      <c r="C27" s="226" t="s">
        <v>789</v>
      </c>
      <c r="D27" s="39"/>
      <c r="E27" s="39">
        <v>800</v>
      </c>
      <c r="F27" s="39">
        <v>800</v>
      </c>
      <c r="G27" s="40">
        <f t="shared" si="0"/>
        <v>800</v>
      </c>
    </row>
    <row r="28" spans="1:7" ht="15.75" customHeight="1">
      <c r="A28" s="861" t="s">
        <v>815</v>
      </c>
      <c r="B28" s="39">
        <v>1000</v>
      </c>
      <c r="C28" s="226" t="s">
        <v>789</v>
      </c>
      <c r="D28" s="39"/>
      <c r="E28" s="39">
        <v>1000</v>
      </c>
      <c r="F28" s="39">
        <v>1000</v>
      </c>
      <c r="G28" s="40">
        <f t="shared" si="0"/>
        <v>1000</v>
      </c>
    </row>
    <row r="29" spans="1:7" ht="15.75" customHeight="1">
      <c r="A29" s="861" t="s">
        <v>816</v>
      </c>
      <c r="B29" s="39">
        <v>216</v>
      </c>
      <c r="C29" s="226" t="s">
        <v>789</v>
      </c>
      <c r="D29" s="39"/>
      <c r="E29" s="39">
        <v>216</v>
      </c>
      <c r="F29" s="39">
        <v>216</v>
      </c>
      <c r="G29" s="40">
        <f t="shared" si="0"/>
        <v>216</v>
      </c>
    </row>
    <row r="30" spans="1:7" ht="15.75" customHeight="1">
      <c r="A30" s="861" t="s">
        <v>817</v>
      </c>
      <c r="B30" s="39">
        <v>152</v>
      </c>
      <c r="C30" s="226" t="s">
        <v>789</v>
      </c>
      <c r="D30" s="39"/>
      <c r="E30" s="39">
        <v>152</v>
      </c>
      <c r="F30" s="39">
        <v>152</v>
      </c>
      <c r="G30" s="40">
        <f t="shared" si="0"/>
        <v>152</v>
      </c>
    </row>
    <row r="31" spans="1:7" ht="15.75" customHeight="1">
      <c r="A31" s="861" t="s">
        <v>818</v>
      </c>
      <c r="B31" s="39">
        <v>635</v>
      </c>
      <c r="C31" s="226" t="s">
        <v>789</v>
      </c>
      <c r="D31" s="39"/>
      <c r="E31" s="39">
        <v>635</v>
      </c>
      <c r="F31" s="39">
        <v>635</v>
      </c>
      <c r="G31" s="40">
        <f t="shared" si="0"/>
        <v>635</v>
      </c>
    </row>
    <row r="32" spans="1:7" ht="15.75" customHeight="1">
      <c r="A32" s="861" t="s">
        <v>819</v>
      </c>
      <c r="B32" s="39">
        <v>3066</v>
      </c>
      <c r="C32" s="226" t="s">
        <v>789</v>
      </c>
      <c r="D32" s="39"/>
      <c r="E32" s="39">
        <v>3066</v>
      </c>
      <c r="F32" s="39">
        <v>3066</v>
      </c>
      <c r="G32" s="40">
        <f t="shared" si="0"/>
        <v>3066</v>
      </c>
    </row>
    <row r="33" spans="1:7" ht="15.75" customHeight="1">
      <c r="A33" s="861" t="s">
        <v>820</v>
      </c>
      <c r="B33" s="39">
        <v>2685</v>
      </c>
      <c r="C33" s="226" t="s">
        <v>789</v>
      </c>
      <c r="D33" s="39"/>
      <c r="E33" s="39">
        <v>2685</v>
      </c>
      <c r="F33" s="39">
        <v>2685</v>
      </c>
      <c r="G33" s="40">
        <f t="shared" si="0"/>
        <v>2685</v>
      </c>
    </row>
    <row r="34" spans="1:7" ht="15.75" customHeight="1" thickBot="1">
      <c r="A34" s="862" t="s">
        <v>821</v>
      </c>
      <c r="B34" s="41">
        <v>3137</v>
      </c>
      <c r="C34" s="227" t="s">
        <v>789</v>
      </c>
      <c r="D34" s="41"/>
      <c r="E34" s="41">
        <v>3137</v>
      </c>
      <c r="F34" s="41">
        <v>3137</v>
      </c>
      <c r="G34" s="42">
        <f t="shared" si="0"/>
        <v>3137</v>
      </c>
    </row>
    <row r="35" spans="1:7" s="38" customFormat="1" ht="18" customHeight="1" thickBot="1">
      <c r="A35" s="72" t="s">
        <v>46</v>
      </c>
      <c r="B35" s="73">
        <f>SUM(B7:B34)</f>
        <v>83033</v>
      </c>
      <c r="C35" s="54"/>
      <c r="D35" s="73">
        <f>SUM(D7:D34)</f>
        <v>10702</v>
      </c>
      <c r="E35" s="73"/>
      <c r="F35" s="73">
        <f>SUM(F7:F34)</f>
        <v>67743</v>
      </c>
      <c r="G35" s="43">
        <f>SUM(G7:G34)</f>
        <v>78445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1"/>
  <sheetViews>
    <sheetView zoomScale="101" zoomScaleNormal="101" zoomScaleSheetLayoutView="100" workbookViewId="0" topLeftCell="A28">
      <selection activeCell="P13" sqref="P13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951"/>
      <c r="B1" s="951"/>
      <c r="C1" s="951"/>
      <c r="D1" s="951"/>
      <c r="E1" s="951"/>
      <c r="F1" s="951"/>
      <c r="G1" s="951"/>
      <c r="H1" s="951"/>
      <c r="I1" s="951"/>
      <c r="J1" s="927" t="str">
        <f>CONCATENATE("5. melléklet ",Z_ALAPADATOK!A7," ",Z_ALAPADATOK!B7," ",Z_ALAPADATOK!C7," ",Z_ALAPADATOK!D7," ",Z_ALAPADATOK!E7," ",Z_ALAPADATOK!F7," ",Z_ALAPADATOK!G7," ",Z_ALAPADATOK!H7)</f>
        <v>5. melléklet a … / 2020. ( … ) önkormányzati rendelethez</v>
      </c>
    </row>
    <row r="2" spans="1:10" ht="15.75">
      <c r="A2" s="954" t="s">
        <v>746</v>
      </c>
      <c r="B2" s="954"/>
      <c r="C2" s="954"/>
      <c r="D2" s="954"/>
      <c r="E2" s="954"/>
      <c r="F2" s="954"/>
      <c r="G2" s="954"/>
      <c r="H2" s="954"/>
      <c r="I2" s="954"/>
      <c r="J2" s="927"/>
    </row>
    <row r="3" spans="1:10" ht="14.25" thickBot="1">
      <c r="A3" s="611"/>
      <c r="B3" s="611"/>
      <c r="C3" s="611"/>
      <c r="D3" s="611"/>
      <c r="E3" s="611"/>
      <c r="F3" s="611"/>
      <c r="G3" s="611"/>
      <c r="H3" s="955" t="str">
        <f>H13</f>
        <v>Forintban!</v>
      </c>
      <c r="I3" s="955"/>
      <c r="J3" s="927"/>
    </row>
    <row r="4" spans="1:10" ht="42.75" thickBot="1">
      <c r="A4" s="956" t="s">
        <v>89</v>
      </c>
      <c r="B4" s="957"/>
      <c r="C4" s="957"/>
      <c r="D4" s="957"/>
      <c r="E4" s="957"/>
      <c r="F4" s="958"/>
      <c r="G4" s="612" t="s">
        <v>444</v>
      </c>
      <c r="H4" s="612" t="s">
        <v>443</v>
      </c>
      <c r="I4" s="612" t="str">
        <f>CONCATENATE("Összes teljesítés ",Z_TARTALOMJEGYZÉK!A1,". XII.31 -ig")</f>
        <v>Összes teljesítés 2019. XII.31 -ig</v>
      </c>
      <c r="J4" s="927"/>
    </row>
    <row r="5" spans="1:10" ht="12.75">
      <c r="A5" s="959"/>
      <c r="B5" s="960"/>
      <c r="C5" s="960"/>
      <c r="D5" s="960"/>
      <c r="E5" s="960"/>
      <c r="F5" s="961"/>
      <c r="G5" s="613"/>
      <c r="H5" s="614"/>
      <c r="I5" s="614"/>
      <c r="J5" s="927"/>
    </row>
    <row r="6" spans="1:10" ht="13.5" thickBot="1">
      <c r="A6" s="962"/>
      <c r="B6" s="963"/>
      <c r="C6" s="963"/>
      <c r="D6" s="963"/>
      <c r="E6" s="963"/>
      <c r="F6" s="964"/>
      <c r="G6" s="615"/>
      <c r="H6" s="616"/>
      <c r="I6" s="616"/>
      <c r="J6" s="927"/>
    </row>
    <row r="7" spans="1:10" ht="13.5" thickBot="1">
      <c r="A7" s="965" t="s">
        <v>507</v>
      </c>
      <c r="B7" s="966"/>
      <c r="C7" s="966"/>
      <c r="D7" s="966"/>
      <c r="E7" s="966"/>
      <c r="F7" s="967"/>
      <c r="G7" s="617">
        <f>SUM(G5:G6)</f>
        <v>0</v>
      </c>
      <c r="H7" s="617">
        <f>SUM(H5:H6)</f>
        <v>0</v>
      </c>
      <c r="I7" s="617">
        <f>SUM(I5:I6)</f>
        <v>0</v>
      </c>
      <c r="J7" s="927"/>
    </row>
    <row r="8" spans="1:10" ht="12.75">
      <c r="A8" s="636"/>
      <c r="B8" s="636"/>
      <c r="C8" s="636"/>
      <c r="D8" s="636"/>
      <c r="E8" s="636"/>
      <c r="F8" s="636"/>
      <c r="G8" s="637"/>
      <c r="H8" s="637"/>
      <c r="I8" s="637"/>
      <c r="J8" s="927"/>
    </row>
    <row r="9" spans="1:10" ht="15.75">
      <c r="A9" s="952" t="s">
        <v>1417</v>
      </c>
      <c r="B9" s="952"/>
      <c r="C9" s="952"/>
      <c r="D9" s="952"/>
      <c r="E9" s="952"/>
      <c r="F9" s="952"/>
      <c r="G9" s="952"/>
      <c r="H9" s="952"/>
      <c r="I9" s="952"/>
      <c r="J9" s="927"/>
    </row>
    <row r="10" spans="1:10" ht="15.75">
      <c r="A10" s="953" t="s">
        <v>744</v>
      </c>
      <c r="B10" s="952"/>
      <c r="C10" s="952"/>
      <c r="D10" s="952"/>
      <c r="E10" s="952"/>
      <c r="F10" s="952"/>
      <c r="G10" s="952"/>
      <c r="H10" s="952"/>
      <c r="I10" s="952"/>
      <c r="J10" s="927"/>
    </row>
    <row r="11" spans="1:10" ht="15.75">
      <c r="A11" s="610"/>
      <c r="B11" s="609"/>
      <c r="C11" s="609"/>
      <c r="D11" s="609"/>
      <c r="E11" s="609"/>
      <c r="F11" s="609"/>
      <c r="G11" s="609"/>
      <c r="H11" s="609"/>
      <c r="I11" s="609"/>
      <c r="J11" s="927"/>
    </row>
    <row r="12" spans="1:13" ht="15.75">
      <c r="A12" s="842" t="s">
        <v>747</v>
      </c>
      <c r="B12" s="843"/>
      <c r="C12" s="844" t="s">
        <v>1409</v>
      </c>
      <c r="D12" s="844"/>
      <c r="E12" s="844"/>
      <c r="F12" s="844"/>
      <c r="G12" s="844"/>
      <c r="H12" s="844"/>
      <c r="I12" s="844"/>
      <c r="J12" s="927"/>
      <c r="K12" s="843"/>
      <c r="L12" s="843"/>
      <c r="M12" s="843"/>
    </row>
    <row r="13" spans="1:10" ht="15.75" thickBot="1">
      <c r="A13" s="618"/>
      <c r="B13" s="618"/>
      <c r="C13" s="618"/>
      <c r="D13" s="618"/>
      <c r="E13" s="618"/>
      <c r="F13" s="618"/>
      <c r="G13" s="618"/>
      <c r="H13" s="928" t="s">
        <v>733</v>
      </c>
      <c r="I13" s="928"/>
      <c r="J13" s="927"/>
    </row>
    <row r="14" spans="1:10" ht="13.5" thickBot="1">
      <c r="A14" s="929" t="s">
        <v>83</v>
      </c>
      <c r="B14" s="932" t="s">
        <v>440</v>
      </c>
      <c r="C14" s="933"/>
      <c r="D14" s="933"/>
      <c r="E14" s="933"/>
      <c r="F14" s="934"/>
      <c r="G14" s="934"/>
      <c r="H14" s="934"/>
      <c r="I14" s="935"/>
      <c r="J14" s="927"/>
    </row>
    <row r="15" spans="1:10" ht="13.5" thickBot="1">
      <c r="A15" s="930"/>
      <c r="B15" s="936" t="s">
        <v>751</v>
      </c>
      <c r="C15" s="939" t="s">
        <v>745</v>
      </c>
      <c r="D15" s="940"/>
      <c r="E15" s="940"/>
      <c r="F15" s="940"/>
      <c r="G15" s="940"/>
      <c r="H15" s="940"/>
      <c r="I15" s="941"/>
      <c r="J15" s="927"/>
    </row>
    <row r="16" spans="1:10" ht="48.75" thickBot="1">
      <c r="A16" s="930"/>
      <c r="B16" s="937"/>
      <c r="C16" s="942" t="str">
        <f>CONCATENATE(Z_TARTALOMJEGYZÉK!$A$1,".  előtti forrás, kiadás")</f>
        <v>2019.  előtti forrás, kiadás</v>
      </c>
      <c r="D16" s="619" t="s">
        <v>442</v>
      </c>
      <c r="E16" s="619" t="s">
        <v>443</v>
      </c>
      <c r="F16" s="620" t="str">
        <f>CONCATENATE("Összes teljesítés ",Z_TARTALOMJEGYZÉK!$A$1,". XII.31 -ig")</f>
        <v>Összes teljesítés 2019. XII.31 -ig</v>
      </c>
      <c r="G16" s="620" t="s">
        <v>442</v>
      </c>
      <c r="H16" s="620" t="s">
        <v>443</v>
      </c>
      <c r="I16" s="620" t="str">
        <f>CONCATENATE("Összes teljesítés ",Z_TARTALOMJEGYZÉK!$A$1,". XII.31 -ig")</f>
        <v>Összes teljesítés 2019. XII.31 -ig</v>
      </c>
      <c r="J16" s="927"/>
    </row>
    <row r="17" spans="1:10" ht="11.25" customHeight="1" thickBot="1">
      <c r="A17" s="931"/>
      <c r="B17" s="938"/>
      <c r="C17" s="943"/>
      <c r="D17" s="944" t="str">
        <f>CONCATENATE(Z_TARTALOMJEGYZÉK!$A$1,". évi")</f>
        <v>2019. évi</v>
      </c>
      <c r="E17" s="945"/>
      <c r="F17" s="946"/>
      <c r="G17" s="944" t="str">
        <f>CONCATENATE(Z_TARTALOMJEGYZÉK!$A$1,". után")</f>
        <v>2019. után</v>
      </c>
      <c r="H17" s="947"/>
      <c r="I17" s="946"/>
      <c r="J17" s="927"/>
    </row>
    <row r="18" spans="1:10" ht="13.5" thickBot="1">
      <c r="A18" s="621" t="s">
        <v>382</v>
      </c>
      <c r="B18" s="622" t="s">
        <v>750</v>
      </c>
      <c r="C18" s="623" t="s">
        <v>384</v>
      </c>
      <c r="D18" s="624" t="s">
        <v>386</v>
      </c>
      <c r="E18" s="624" t="s">
        <v>385</v>
      </c>
      <c r="F18" s="623" t="s">
        <v>387</v>
      </c>
      <c r="G18" s="623" t="s">
        <v>388</v>
      </c>
      <c r="H18" s="623" t="s">
        <v>389</v>
      </c>
      <c r="I18" s="625" t="s">
        <v>749</v>
      </c>
      <c r="J18" s="927"/>
    </row>
    <row r="19" spans="1:10" ht="12.75">
      <c r="A19" s="626" t="s">
        <v>84</v>
      </c>
      <c r="B19" s="652">
        <f aca="true" t="shared" si="0" ref="B19:B24">C19+E19+H19</f>
        <v>0</v>
      </c>
      <c r="C19" s="638"/>
      <c r="D19" s="639"/>
      <c r="E19" s="639"/>
      <c r="F19" s="649"/>
      <c r="G19" s="639"/>
      <c r="H19" s="640"/>
      <c r="I19" s="641">
        <f aca="true" t="shared" si="1" ref="I19:I24">C19+F19</f>
        <v>0</v>
      </c>
      <c r="J19" s="927"/>
    </row>
    <row r="20" spans="1:10" ht="12.75">
      <c r="A20" s="627" t="s">
        <v>95</v>
      </c>
      <c r="B20" s="653">
        <f t="shared" si="0"/>
        <v>0</v>
      </c>
      <c r="C20" s="642"/>
      <c r="D20" s="642"/>
      <c r="E20" s="643"/>
      <c r="F20" s="650"/>
      <c r="G20" s="642"/>
      <c r="H20" s="643"/>
      <c r="I20" s="644">
        <f t="shared" si="1"/>
        <v>0</v>
      </c>
      <c r="J20" s="927"/>
    </row>
    <row r="21" spans="1:10" ht="12.75">
      <c r="A21" s="628" t="s">
        <v>85</v>
      </c>
      <c r="B21" s="654">
        <f t="shared" si="0"/>
        <v>267091339</v>
      </c>
      <c r="C21" s="643">
        <v>251550426</v>
      </c>
      <c r="D21" s="845">
        <v>2540913</v>
      </c>
      <c r="E21" s="643">
        <v>2540913</v>
      </c>
      <c r="F21" s="651">
        <v>2540913</v>
      </c>
      <c r="G21" s="643">
        <v>13000000</v>
      </c>
      <c r="H21" s="643">
        <v>13000000</v>
      </c>
      <c r="I21" s="644">
        <f>C21+F21</f>
        <v>254091339</v>
      </c>
      <c r="J21" s="927"/>
    </row>
    <row r="22" spans="1:10" ht="12.75">
      <c r="A22" s="628" t="s">
        <v>96</v>
      </c>
      <c r="B22" s="654">
        <f t="shared" si="0"/>
        <v>0</v>
      </c>
      <c r="C22" s="643"/>
      <c r="D22" s="643"/>
      <c r="E22" s="643"/>
      <c r="F22" s="651"/>
      <c r="G22" s="643"/>
      <c r="H22" s="643"/>
      <c r="I22" s="644">
        <f t="shared" si="1"/>
        <v>0</v>
      </c>
      <c r="J22" s="927"/>
    </row>
    <row r="23" spans="1:10" ht="12.75">
      <c r="A23" s="628" t="s">
        <v>86</v>
      </c>
      <c r="B23" s="654">
        <f t="shared" si="0"/>
        <v>0</v>
      </c>
      <c r="C23" s="643"/>
      <c r="D23" s="643"/>
      <c r="E23" s="643"/>
      <c r="F23" s="651"/>
      <c r="G23" s="642"/>
      <c r="H23" s="643"/>
      <c r="I23" s="644">
        <f t="shared" si="1"/>
        <v>0</v>
      </c>
      <c r="J23" s="927"/>
    </row>
    <row r="24" spans="1:10" ht="13.5" thickBot="1">
      <c r="A24" s="628" t="s">
        <v>87</v>
      </c>
      <c r="B24" s="654">
        <f t="shared" si="0"/>
        <v>0</v>
      </c>
      <c r="C24" s="643"/>
      <c r="D24" s="643"/>
      <c r="E24" s="643"/>
      <c r="F24" s="651"/>
      <c r="G24" s="642"/>
      <c r="H24" s="643"/>
      <c r="I24" s="644">
        <f t="shared" si="1"/>
        <v>0</v>
      </c>
      <c r="J24" s="927"/>
    </row>
    <row r="25" spans="1:10" ht="13.5" thickBot="1">
      <c r="A25" s="629" t="s">
        <v>88</v>
      </c>
      <c r="B25" s="655">
        <f aca="true" t="shared" si="2" ref="B25:I25">B19+SUM(B21:B24)</f>
        <v>267091339</v>
      </c>
      <c r="C25" s="645">
        <f t="shared" si="2"/>
        <v>251550426</v>
      </c>
      <c r="D25" s="645">
        <f t="shared" si="2"/>
        <v>2540913</v>
      </c>
      <c r="E25" s="645">
        <f t="shared" si="2"/>
        <v>2540913</v>
      </c>
      <c r="F25" s="645">
        <f t="shared" si="2"/>
        <v>2540913</v>
      </c>
      <c r="G25" s="645">
        <f t="shared" si="2"/>
        <v>13000000</v>
      </c>
      <c r="H25" s="645">
        <f t="shared" si="2"/>
        <v>13000000</v>
      </c>
      <c r="I25" s="646">
        <f t="shared" si="2"/>
        <v>254091339</v>
      </c>
      <c r="J25" s="927"/>
    </row>
    <row r="26" spans="1:10" ht="12.75">
      <c r="A26" s="630" t="s">
        <v>91</v>
      </c>
      <c r="B26" s="652">
        <f>C26+E26+H26</f>
        <v>0</v>
      </c>
      <c r="C26" s="639"/>
      <c r="D26" s="639"/>
      <c r="E26" s="639"/>
      <c r="F26" s="639"/>
      <c r="G26" s="639"/>
      <c r="H26" s="639"/>
      <c r="I26" s="641">
        <f>C26+F26</f>
        <v>0</v>
      </c>
      <c r="J26" s="927"/>
    </row>
    <row r="27" spans="1:10" ht="12.75">
      <c r="A27" s="631" t="s">
        <v>92</v>
      </c>
      <c r="B27" s="654">
        <f>C27+E27+H27</f>
        <v>252728000</v>
      </c>
      <c r="C27" s="643">
        <v>57905000</v>
      </c>
      <c r="D27" s="643">
        <v>177681000</v>
      </c>
      <c r="E27" s="643">
        <v>177681000</v>
      </c>
      <c r="F27" s="643">
        <v>177681000</v>
      </c>
      <c r="G27" s="643">
        <v>17142000</v>
      </c>
      <c r="H27" s="643">
        <v>17142000</v>
      </c>
      <c r="I27" s="644">
        <f>C27+F27</f>
        <v>235586000</v>
      </c>
      <c r="J27" s="927"/>
    </row>
    <row r="28" spans="1:10" ht="12.75">
      <c r="A28" s="631" t="s">
        <v>93</v>
      </c>
      <c r="B28" s="654">
        <f>C28+E28+H28</f>
        <v>14363339</v>
      </c>
      <c r="C28" s="643">
        <v>5238272</v>
      </c>
      <c r="D28" s="850">
        <v>7170663</v>
      </c>
      <c r="E28" s="850">
        <v>7170663</v>
      </c>
      <c r="F28" s="643">
        <v>7170663</v>
      </c>
      <c r="G28" s="643">
        <v>1954404</v>
      </c>
      <c r="H28" s="643">
        <v>1954404</v>
      </c>
      <c r="I28" s="644">
        <f>C28+F28</f>
        <v>12408935</v>
      </c>
      <c r="J28" s="927"/>
    </row>
    <row r="29" spans="1:10" ht="12.75">
      <c r="A29" s="631" t="s">
        <v>94</v>
      </c>
      <c r="B29" s="654">
        <f>C29+E29+H29</f>
        <v>0</v>
      </c>
      <c r="C29" s="643"/>
      <c r="D29" s="643"/>
      <c r="E29" s="643"/>
      <c r="F29" s="643"/>
      <c r="G29" s="643"/>
      <c r="H29" s="643"/>
      <c r="I29" s="644">
        <f>C29+F29</f>
        <v>0</v>
      </c>
      <c r="J29" s="927"/>
    </row>
    <row r="30" spans="1:10" ht="13.5" thickBot="1">
      <c r="A30" s="632"/>
      <c r="B30" s="656"/>
      <c r="C30" s="647"/>
      <c r="D30" s="647"/>
      <c r="E30" s="643"/>
      <c r="F30" s="647"/>
      <c r="G30" s="847"/>
      <c r="H30" s="847"/>
      <c r="I30" s="648">
        <f>C30+F30</f>
        <v>0</v>
      </c>
      <c r="J30" s="927"/>
    </row>
    <row r="31" spans="1:10" ht="13.5" thickBot="1">
      <c r="A31" s="633" t="s">
        <v>74</v>
      </c>
      <c r="B31" s="655">
        <f aca="true" t="shared" si="3" ref="B31:I31">SUM(B26:B30)</f>
        <v>267091339</v>
      </c>
      <c r="C31" s="645">
        <f t="shared" si="3"/>
        <v>63143272</v>
      </c>
      <c r="D31" s="645">
        <f t="shared" si="3"/>
        <v>184851663</v>
      </c>
      <c r="E31" s="645">
        <f t="shared" si="3"/>
        <v>184851663</v>
      </c>
      <c r="F31" s="645">
        <f t="shared" si="3"/>
        <v>184851663</v>
      </c>
      <c r="G31" s="645">
        <f t="shared" si="3"/>
        <v>19096404</v>
      </c>
      <c r="H31" s="645">
        <f t="shared" si="3"/>
        <v>19096404</v>
      </c>
      <c r="I31" s="646">
        <f t="shared" si="3"/>
        <v>247994935</v>
      </c>
      <c r="J31" s="927"/>
    </row>
    <row r="32" spans="1:10" ht="12.75">
      <c r="A32" s="950" t="s">
        <v>508</v>
      </c>
      <c r="B32" s="950"/>
      <c r="C32" s="950"/>
      <c r="D32" s="950"/>
      <c r="E32" s="950"/>
      <c r="F32" s="950"/>
      <c r="G32" s="950"/>
      <c r="H32" s="950"/>
      <c r="I32" s="950"/>
      <c r="J32" s="927"/>
    </row>
    <row r="33" spans="1:10" ht="12.75">
      <c r="A33" s="634"/>
      <c r="B33" s="634"/>
      <c r="C33" s="634"/>
      <c r="D33" s="634"/>
      <c r="E33" s="634"/>
      <c r="F33" s="634"/>
      <c r="G33" s="634"/>
      <c r="H33" s="634"/>
      <c r="I33" s="634"/>
      <c r="J33" s="927"/>
    </row>
    <row r="34" spans="1:10" ht="14.25" customHeight="1">
      <c r="A34" s="948" t="s">
        <v>747</v>
      </c>
      <c r="B34" s="948"/>
      <c r="C34" s="949" t="s">
        <v>1410</v>
      </c>
      <c r="D34" s="949"/>
      <c r="E34" s="949"/>
      <c r="F34" s="949"/>
      <c r="G34" s="949"/>
      <c r="H34" s="949"/>
      <c r="I34" s="949"/>
      <c r="J34" s="927"/>
    </row>
    <row r="35" spans="1:10" ht="15.75" thickBot="1">
      <c r="A35" s="618"/>
      <c r="B35" s="618"/>
      <c r="C35" s="618"/>
      <c r="D35" s="618"/>
      <c r="E35" s="618"/>
      <c r="F35" s="618"/>
      <c r="G35" s="618"/>
      <c r="H35" s="928" t="s">
        <v>733</v>
      </c>
      <c r="I35" s="928"/>
      <c r="J35" s="927"/>
    </row>
    <row r="36" spans="1:10" ht="13.5" customHeight="1" thickBot="1">
      <c r="A36" s="929" t="s">
        <v>83</v>
      </c>
      <c r="B36" s="932" t="s">
        <v>440</v>
      </c>
      <c r="C36" s="933"/>
      <c r="D36" s="933"/>
      <c r="E36" s="933"/>
      <c r="F36" s="934"/>
      <c r="G36" s="934"/>
      <c r="H36" s="934"/>
      <c r="I36" s="935"/>
      <c r="J36" s="927"/>
    </row>
    <row r="37" spans="1:10" ht="13.5" customHeight="1" thickBot="1">
      <c r="A37" s="930"/>
      <c r="B37" s="936" t="str">
        <f>B15</f>
        <v>Módosítás utáni összes forrás, kiadás</v>
      </c>
      <c r="C37" s="939" t="s">
        <v>745</v>
      </c>
      <c r="D37" s="940"/>
      <c r="E37" s="940"/>
      <c r="F37" s="940"/>
      <c r="G37" s="940"/>
      <c r="H37" s="940"/>
      <c r="I37" s="941"/>
      <c r="J37" s="927"/>
    </row>
    <row r="38" spans="1:10" ht="48.75" thickBot="1">
      <c r="A38" s="930"/>
      <c r="B38" s="937"/>
      <c r="C38" s="942" t="str">
        <f>CONCATENATE(Z_TARTALOMJEGYZÉK!$A$1,".  előtti forrás, kiadás")</f>
        <v>2019.  előtti forrás, kiadás</v>
      </c>
      <c r="D38" s="619" t="s">
        <v>442</v>
      </c>
      <c r="E38" s="619" t="s">
        <v>443</v>
      </c>
      <c r="F38" s="620" t="str">
        <f>CONCATENATE("Összes teljesítés ",Z_TARTALOMJEGYZÉK!$A$1,". XII.31 -ig")</f>
        <v>Összes teljesítés 2019. XII.31 -ig</v>
      </c>
      <c r="G38" s="620" t="s">
        <v>442</v>
      </c>
      <c r="H38" s="620" t="s">
        <v>443</v>
      </c>
      <c r="I38" s="620" t="str">
        <f>CONCATENATE("Összes teljesítés ",Z_TARTALOMJEGYZÉK!$A$1,". XII.31 -ig")</f>
        <v>Összes teljesítés 2019. XII.31 -ig</v>
      </c>
      <c r="J38" s="927"/>
    </row>
    <row r="39" spans="1:10" ht="13.5" thickBot="1">
      <c r="A39" s="931"/>
      <c r="B39" s="938"/>
      <c r="C39" s="943"/>
      <c r="D39" s="944" t="str">
        <f>CONCATENATE(Z_TARTALOMJEGYZÉK!$A$1,". évi")</f>
        <v>2019. évi</v>
      </c>
      <c r="E39" s="945"/>
      <c r="F39" s="946"/>
      <c r="G39" s="944" t="str">
        <f>CONCATENATE(Z_TARTALOMJEGYZÉK!$A$1,". után")</f>
        <v>2019. után</v>
      </c>
      <c r="H39" s="947"/>
      <c r="I39" s="946"/>
      <c r="J39" s="927"/>
    </row>
    <row r="40" spans="1:10" ht="13.5" thickBot="1">
      <c r="A40" s="621" t="s">
        <v>382</v>
      </c>
      <c r="B40" s="622" t="s">
        <v>750</v>
      </c>
      <c r="C40" s="623" t="s">
        <v>384</v>
      </c>
      <c r="D40" s="624" t="s">
        <v>386</v>
      </c>
      <c r="E40" s="624" t="s">
        <v>385</v>
      </c>
      <c r="F40" s="623" t="s">
        <v>387</v>
      </c>
      <c r="G40" s="623" t="s">
        <v>388</v>
      </c>
      <c r="H40" s="623" t="s">
        <v>389</v>
      </c>
      <c r="I40" s="625" t="s">
        <v>749</v>
      </c>
      <c r="J40" s="927"/>
    </row>
    <row r="41" spans="1:10" ht="12.75">
      <c r="A41" s="626" t="s">
        <v>84</v>
      </c>
      <c r="B41" s="652">
        <f aca="true" t="shared" si="4" ref="B41:B46">C41+E41+H41</f>
        <v>0</v>
      </c>
      <c r="C41" s="638"/>
      <c r="D41" s="639"/>
      <c r="E41" s="639"/>
      <c r="F41" s="649"/>
      <c r="G41" s="639"/>
      <c r="H41" s="640"/>
      <c r="I41" s="641">
        <f aca="true" t="shared" si="5" ref="I41:I46">C41+F41</f>
        <v>0</v>
      </c>
      <c r="J41" s="927"/>
    </row>
    <row r="42" spans="1:10" ht="12.75">
      <c r="A42" s="627" t="s">
        <v>95</v>
      </c>
      <c r="B42" s="653">
        <f t="shared" si="4"/>
        <v>0</v>
      </c>
      <c r="C42" s="642"/>
      <c r="D42" s="642"/>
      <c r="E42" s="643"/>
      <c r="F42" s="650"/>
      <c r="G42" s="642"/>
      <c r="H42" s="643"/>
      <c r="I42" s="644">
        <f t="shared" si="5"/>
        <v>0</v>
      </c>
      <c r="J42" s="927"/>
    </row>
    <row r="43" spans="1:10" ht="12.75">
      <c r="A43" s="628" t="s">
        <v>85</v>
      </c>
      <c r="B43" s="654">
        <f t="shared" si="4"/>
        <v>550000000</v>
      </c>
      <c r="C43" s="845">
        <v>504309929</v>
      </c>
      <c r="D43" s="643"/>
      <c r="E43" s="643"/>
      <c r="F43" s="651"/>
      <c r="G43" s="845">
        <v>45690071</v>
      </c>
      <c r="H43" s="845">
        <v>45690071</v>
      </c>
      <c r="I43" s="644">
        <f t="shared" si="5"/>
        <v>504309929</v>
      </c>
      <c r="J43" s="927"/>
    </row>
    <row r="44" spans="1:10" ht="12.75">
      <c r="A44" s="628" t="s">
        <v>96</v>
      </c>
      <c r="B44" s="654">
        <f t="shared" si="4"/>
        <v>0</v>
      </c>
      <c r="C44" s="643"/>
      <c r="D44" s="643"/>
      <c r="E44" s="643"/>
      <c r="F44" s="651"/>
      <c r="G44" s="845"/>
      <c r="H44" s="845"/>
      <c r="I44" s="644">
        <f t="shared" si="5"/>
        <v>0</v>
      </c>
      <c r="J44" s="927"/>
    </row>
    <row r="45" spans="1:10" ht="12.75">
      <c r="A45" s="628" t="s">
        <v>86</v>
      </c>
      <c r="B45" s="653">
        <f t="shared" si="4"/>
        <v>0</v>
      </c>
      <c r="C45" s="643"/>
      <c r="D45" s="643"/>
      <c r="E45" s="643"/>
      <c r="F45" s="651"/>
      <c r="G45" s="848"/>
      <c r="H45" s="848"/>
      <c r="I45" s="644">
        <f t="shared" si="5"/>
        <v>0</v>
      </c>
      <c r="J45" s="927"/>
    </row>
    <row r="46" spans="1:10" ht="13.5" thickBot="1">
      <c r="A46" s="628" t="s">
        <v>87</v>
      </c>
      <c r="B46" s="653">
        <f t="shared" si="4"/>
        <v>0</v>
      </c>
      <c r="C46" s="643"/>
      <c r="D46" s="643"/>
      <c r="E46" s="643"/>
      <c r="F46" s="651"/>
      <c r="G46" s="848"/>
      <c r="H46" s="848"/>
      <c r="I46" s="644">
        <f t="shared" si="5"/>
        <v>0</v>
      </c>
      <c r="J46" s="927"/>
    </row>
    <row r="47" spans="1:10" ht="13.5" thickBot="1">
      <c r="A47" s="629" t="s">
        <v>88</v>
      </c>
      <c r="B47" s="655">
        <f aca="true" t="shared" si="6" ref="B47:I47">B41+SUM(B43:B46)</f>
        <v>550000000</v>
      </c>
      <c r="C47" s="645">
        <f t="shared" si="6"/>
        <v>504309929</v>
      </c>
      <c r="D47" s="645">
        <f t="shared" si="6"/>
        <v>0</v>
      </c>
      <c r="E47" s="645">
        <f t="shared" si="6"/>
        <v>0</v>
      </c>
      <c r="F47" s="645">
        <f t="shared" si="6"/>
        <v>0</v>
      </c>
      <c r="G47" s="645">
        <f t="shared" si="6"/>
        <v>45690071</v>
      </c>
      <c r="H47" s="645">
        <f>H41+SUM(H43:H46)</f>
        <v>45690071</v>
      </c>
      <c r="I47" s="646">
        <f t="shared" si="6"/>
        <v>504309929</v>
      </c>
      <c r="J47" s="927"/>
    </row>
    <row r="48" spans="1:10" ht="12.75">
      <c r="A48" s="630" t="s">
        <v>91</v>
      </c>
      <c r="B48" s="652">
        <f>C48+E48+H48</f>
        <v>0</v>
      </c>
      <c r="C48" s="639"/>
      <c r="D48" s="639"/>
      <c r="E48" s="639"/>
      <c r="F48" s="639"/>
      <c r="G48" s="639"/>
      <c r="H48" s="639"/>
      <c r="I48" s="641">
        <f>C48+F48</f>
        <v>0</v>
      </c>
      <c r="J48" s="927"/>
    </row>
    <row r="49" spans="1:10" ht="12.75">
      <c r="A49" s="631" t="s">
        <v>92</v>
      </c>
      <c r="B49" s="654">
        <f>C49+E49+H49</f>
        <v>519593000</v>
      </c>
      <c r="C49" s="845">
        <v>17492000</v>
      </c>
      <c r="D49" s="643">
        <v>182653000</v>
      </c>
      <c r="E49" s="643">
        <v>182653000</v>
      </c>
      <c r="F49" s="643">
        <v>182653000</v>
      </c>
      <c r="G49" s="845">
        <v>319448000</v>
      </c>
      <c r="H49" s="845">
        <v>319448000</v>
      </c>
      <c r="I49" s="644">
        <f>C49+F49</f>
        <v>200145000</v>
      </c>
      <c r="J49" s="927"/>
    </row>
    <row r="50" spans="1:10" ht="12.75">
      <c r="A50" s="631" t="s">
        <v>93</v>
      </c>
      <c r="B50" s="654">
        <f>C50+E50+H50</f>
        <v>30407000</v>
      </c>
      <c r="C50" s="845">
        <v>2370200</v>
      </c>
      <c r="D50" s="643">
        <v>6265717</v>
      </c>
      <c r="E50" s="643">
        <v>6265717</v>
      </c>
      <c r="F50" s="643">
        <v>6265717</v>
      </c>
      <c r="G50" s="845">
        <v>21771083</v>
      </c>
      <c r="H50" s="845">
        <v>21771083</v>
      </c>
      <c r="I50" s="644">
        <f>C50+F50</f>
        <v>8635917</v>
      </c>
      <c r="J50" s="927"/>
    </row>
    <row r="51" spans="1:10" ht="12.75">
      <c r="A51" s="631" t="s">
        <v>94</v>
      </c>
      <c r="B51" s="654">
        <f>C51+E51+H51</f>
        <v>0</v>
      </c>
      <c r="C51" s="643"/>
      <c r="D51" s="643"/>
      <c r="E51" s="643"/>
      <c r="F51" s="643"/>
      <c r="G51" s="845"/>
      <c r="H51" s="845"/>
      <c r="I51" s="644">
        <f>C51+F51</f>
        <v>0</v>
      </c>
      <c r="J51" s="927"/>
    </row>
    <row r="52" spans="1:10" ht="13.5" thickBot="1">
      <c r="A52" s="849"/>
      <c r="B52" s="656"/>
      <c r="C52" s="647"/>
      <c r="D52" s="647"/>
      <c r="E52" s="643"/>
      <c r="F52" s="647"/>
      <c r="G52" s="846"/>
      <c r="H52" s="846"/>
      <c r="I52" s="648">
        <f>C52+F52</f>
        <v>0</v>
      </c>
      <c r="J52" s="927"/>
    </row>
    <row r="53" spans="1:10" ht="13.5" thickBot="1">
      <c r="A53" s="633" t="s">
        <v>74</v>
      </c>
      <c r="B53" s="655">
        <f aca="true" t="shared" si="7" ref="B53:I53">SUM(B48:B52)</f>
        <v>550000000</v>
      </c>
      <c r="C53" s="645">
        <f t="shared" si="7"/>
        <v>19862200</v>
      </c>
      <c r="D53" s="645">
        <f t="shared" si="7"/>
        <v>188918717</v>
      </c>
      <c r="E53" s="645">
        <f t="shared" si="7"/>
        <v>188918717</v>
      </c>
      <c r="F53" s="645">
        <f t="shared" si="7"/>
        <v>188918717</v>
      </c>
      <c r="G53" s="645">
        <f t="shared" si="7"/>
        <v>341219083</v>
      </c>
      <c r="H53" s="645">
        <f>SUM(H48:H52)</f>
        <v>341219083</v>
      </c>
      <c r="I53" s="646">
        <f t="shared" si="7"/>
        <v>208780917</v>
      </c>
      <c r="J53" s="927"/>
    </row>
    <row r="54" ht="12.75">
      <c r="J54" s="927"/>
    </row>
    <row r="55" ht="12.75">
      <c r="J55" s="927"/>
    </row>
    <row r="56" spans="1:10" ht="14.25">
      <c r="A56" s="948" t="s">
        <v>747</v>
      </c>
      <c r="B56" s="948"/>
      <c r="C56" s="949" t="s">
        <v>1411</v>
      </c>
      <c r="D56" s="949"/>
      <c r="E56" s="949"/>
      <c r="F56" s="949"/>
      <c r="G56" s="949"/>
      <c r="H56" s="949"/>
      <c r="I56" s="949"/>
      <c r="J56" s="927"/>
    </row>
    <row r="57" spans="1:10" ht="15.75" thickBot="1">
      <c r="A57" s="618"/>
      <c r="B57" s="618"/>
      <c r="C57" s="618"/>
      <c r="D57" s="618"/>
      <c r="E57" s="618"/>
      <c r="F57" s="618"/>
      <c r="G57" s="618"/>
      <c r="H57" s="928" t="s">
        <v>733</v>
      </c>
      <c r="I57" s="928"/>
      <c r="J57" s="927"/>
    </row>
    <row r="58" spans="1:10" ht="13.5" customHeight="1" thickBot="1">
      <c r="A58" s="929" t="s">
        <v>83</v>
      </c>
      <c r="B58" s="932" t="s">
        <v>440</v>
      </c>
      <c r="C58" s="933"/>
      <c r="D58" s="933"/>
      <c r="E58" s="933"/>
      <c r="F58" s="934"/>
      <c r="G58" s="934"/>
      <c r="H58" s="934"/>
      <c r="I58" s="935"/>
      <c r="J58" s="927"/>
    </row>
    <row r="59" spans="1:10" ht="13.5" customHeight="1" thickBot="1">
      <c r="A59" s="930"/>
      <c r="B59" s="936" t="str">
        <f>B37</f>
        <v>Módosítás utáni összes forrás, kiadás</v>
      </c>
      <c r="C59" s="939" t="s">
        <v>745</v>
      </c>
      <c r="D59" s="940"/>
      <c r="E59" s="940"/>
      <c r="F59" s="940"/>
      <c r="G59" s="940"/>
      <c r="H59" s="940"/>
      <c r="I59" s="941"/>
      <c r="J59" s="927"/>
    </row>
    <row r="60" spans="1:10" ht="48.75" customHeight="1" thickBot="1">
      <c r="A60" s="930"/>
      <c r="B60" s="937"/>
      <c r="C60" s="942" t="str">
        <f>CONCATENATE(Z_TARTALOMJEGYZÉK!$A$1,".  előtti forrás, kiadás")</f>
        <v>2019.  előtti forrás, kiadás</v>
      </c>
      <c r="D60" s="619" t="s">
        <v>442</v>
      </c>
      <c r="E60" s="619" t="s">
        <v>443</v>
      </c>
      <c r="F60" s="620" t="str">
        <f>CONCATENATE("Összes teljesítés ",Z_TARTALOMJEGYZÉK!$A$1,". XII.31 -ig")</f>
        <v>Összes teljesítés 2019. XII.31 -ig</v>
      </c>
      <c r="G60" s="620" t="s">
        <v>442</v>
      </c>
      <c r="H60" s="620" t="s">
        <v>443</v>
      </c>
      <c r="I60" s="620" t="str">
        <f>CONCATENATE("Összes teljesítés ",Z_TARTALOMJEGYZÉK!$A$1,". XII.31 -ig")</f>
        <v>Összes teljesítés 2019. XII.31 -ig</v>
      </c>
      <c r="J60" s="927"/>
    </row>
    <row r="61" spans="1:10" ht="13.5" thickBot="1">
      <c r="A61" s="931"/>
      <c r="B61" s="938"/>
      <c r="C61" s="943"/>
      <c r="D61" s="944" t="str">
        <f>CONCATENATE(Z_TARTALOMJEGYZÉK!$A$1,". évi")</f>
        <v>2019. évi</v>
      </c>
      <c r="E61" s="945"/>
      <c r="F61" s="946"/>
      <c r="G61" s="944" t="str">
        <f>CONCATENATE(Z_TARTALOMJEGYZÉK!$A$1,". után")</f>
        <v>2019. után</v>
      </c>
      <c r="H61" s="947"/>
      <c r="I61" s="946"/>
      <c r="J61" s="927"/>
    </row>
    <row r="62" spans="1:10" ht="13.5" thickBot="1">
      <c r="A62" s="621" t="s">
        <v>382</v>
      </c>
      <c r="B62" s="622" t="s">
        <v>750</v>
      </c>
      <c r="C62" s="623" t="s">
        <v>384</v>
      </c>
      <c r="D62" s="624" t="s">
        <v>386</v>
      </c>
      <c r="E62" s="624" t="s">
        <v>385</v>
      </c>
      <c r="F62" s="623" t="s">
        <v>387</v>
      </c>
      <c r="G62" s="623" t="s">
        <v>388</v>
      </c>
      <c r="H62" s="623" t="s">
        <v>389</v>
      </c>
      <c r="I62" s="625" t="s">
        <v>749</v>
      </c>
      <c r="J62" s="927"/>
    </row>
    <row r="63" spans="1:10" ht="12.75">
      <c r="A63" s="626" t="s">
        <v>84</v>
      </c>
      <c r="B63" s="652">
        <f aca="true" t="shared" si="8" ref="B63:B68">C63+E63+H63</f>
        <v>0</v>
      </c>
      <c r="C63" s="638"/>
      <c r="D63" s="639"/>
      <c r="E63" s="639"/>
      <c r="F63" s="649"/>
      <c r="G63" s="639"/>
      <c r="H63" s="640"/>
      <c r="I63" s="641">
        <f aca="true" t="shared" si="9" ref="I63:I68">C63+F63</f>
        <v>0</v>
      </c>
      <c r="J63" s="927"/>
    </row>
    <row r="64" spans="1:10" ht="12.75">
      <c r="A64" s="627" t="s">
        <v>95</v>
      </c>
      <c r="B64" s="653">
        <f t="shared" si="8"/>
        <v>0</v>
      </c>
      <c r="C64" s="642"/>
      <c r="D64" s="642"/>
      <c r="E64" s="643"/>
      <c r="F64" s="650"/>
      <c r="G64" s="642"/>
      <c r="H64" s="643"/>
      <c r="I64" s="644">
        <f t="shared" si="9"/>
        <v>0</v>
      </c>
      <c r="J64" s="927"/>
    </row>
    <row r="65" spans="1:10" ht="12.75">
      <c r="A65" s="628" t="s">
        <v>85</v>
      </c>
      <c r="B65" s="654">
        <f t="shared" si="8"/>
        <v>18690590</v>
      </c>
      <c r="C65" s="643">
        <v>16994924</v>
      </c>
      <c r="D65" s="643">
        <v>478036</v>
      </c>
      <c r="E65" s="643">
        <v>478036</v>
      </c>
      <c r="F65" s="651">
        <v>478036</v>
      </c>
      <c r="G65" s="643">
        <v>1217630</v>
      </c>
      <c r="H65" s="643">
        <v>1217630</v>
      </c>
      <c r="I65" s="644">
        <f t="shared" si="9"/>
        <v>17472960</v>
      </c>
      <c r="J65" s="927"/>
    </row>
    <row r="66" spans="1:10" ht="12.75">
      <c r="A66" s="628" t="s">
        <v>96</v>
      </c>
      <c r="B66" s="654">
        <f t="shared" si="8"/>
        <v>0</v>
      </c>
      <c r="C66" s="643"/>
      <c r="D66" s="643"/>
      <c r="E66" s="643"/>
      <c r="F66" s="651"/>
      <c r="G66" s="643"/>
      <c r="H66" s="643"/>
      <c r="I66" s="644">
        <f t="shared" si="9"/>
        <v>0</v>
      </c>
      <c r="J66" s="927"/>
    </row>
    <row r="67" spans="1:10" ht="12.75">
      <c r="A67" s="628" t="s">
        <v>86</v>
      </c>
      <c r="B67" s="654">
        <f t="shared" si="8"/>
        <v>0</v>
      </c>
      <c r="C67" s="643"/>
      <c r="D67" s="643"/>
      <c r="E67" s="643"/>
      <c r="F67" s="651"/>
      <c r="G67" s="643"/>
      <c r="H67" s="643"/>
      <c r="I67" s="644">
        <f t="shared" si="9"/>
        <v>0</v>
      </c>
      <c r="J67" s="927"/>
    </row>
    <row r="68" spans="1:10" ht="13.5" thickBot="1">
      <c r="A68" s="628" t="s">
        <v>87</v>
      </c>
      <c r="B68" s="654">
        <f t="shared" si="8"/>
        <v>0</v>
      </c>
      <c r="C68" s="643"/>
      <c r="D68" s="643"/>
      <c r="E68" s="643"/>
      <c r="F68" s="651"/>
      <c r="G68" s="643"/>
      <c r="H68" s="643"/>
      <c r="I68" s="644">
        <f t="shared" si="9"/>
        <v>0</v>
      </c>
      <c r="J68" s="927"/>
    </row>
    <row r="69" spans="1:10" ht="13.5" thickBot="1">
      <c r="A69" s="629" t="s">
        <v>88</v>
      </c>
      <c r="B69" s="655">
        <f aca="true" t="shared" si="10" ref="B69:I69">B63+SUM(B65:B68)</f>
        <v>18690590</v>
      </c>
      <c r="C69" s="645">
        <f t="shared" si="10"/>
        <v>16994924</v>
      </c>
      <c r="D69" s="645">
        <f t="shared" si="10"/>
        <v>478036</v>
      </c>
      <c r="E69" s="645">
        <f t="shared" si="10"/>
        <v>478036</v>
      </c>
      <c r="F69" s="645">
        <f t="shared" si="10"/>
        <v>478036</v>
      </c>
      <c r="G69" s="645">
        <f t="shared" si="10"/>
        <v>1217630</v>
      </c>
      <c r="H69" s="645">
        <f t="shared" si="10"/>
        <v>1217630</v>
      </c>
      <c r="I69" s="646">
        <f t="shared" si="10"/>
        <v>17472960</v>
      </c>
      <c r="J69" s="927"/>
    </row>
    <row r="70" spans="1:10" ht="12.75">
      <c r="A70" s="630" t="s">
        <v>91</v>
      </c>
      <c r="B70" s="652">
        <f>C70+E70+H70</f>
        <v>0</v>
      </c>
      <c r="C70" s="639"/>
      <c r="D70" s="639"/>
      <c r="E70" s="639"/>
      <c r="F70" s="639"/>
      <c r="G70" s="639"/>
      <c r="H70" s="639"/>
      <c r="I70" s="641">
        <f>C70+F70</f>
        <v>0</v>
      </c>
      <c r="J70" s="927"/>
    </row>
    <row r="71" spans="1:10" ht="12.75">
      <c r="A71" s="631" t="s">
        <v>92</v>
      </c>
      <c r="B71" s="654">
        <f>C71+E71+H71</f>
        <v>17885750</v>
      </c>
      <c r="C71" s="643">
        <v>412750</v>
      </c>
      <c r="D71" s="643">
        <v>17473000</v>
      </c>
      <c r="E71" s="643">
        <v>17473000</v>
      </c>
      <c r="F71" s="643">
        <v>17473000</v>
      </c>
      <c r="G71" s="643"/>
      <c r="H71" s="643"/>
      <c r="I71" s="644">
        <f>C71+F71</f>
        <v>17885750</v>
      </c>
      <c r="J71" s="927"/>
    </row>
    <row r="72" spans="1:10" ht="12.75">
      <c r="A72" s="631" t="s">
        <v>93</v>
      </c>
      <c r="B72" s="654">
        <f>C72+E72+H72</f>
        <v>804840</v>
      </c>
      <c r="C72" s="643">
        <v>0</v>
      </c>
      <c r="D72" s="643">
        <v>513840</v>
      </c>
      <c r="E72" s="643">
        <v>513840</v>
      </c>
      <c r="F72" s="643">
        <v>513840</v>
      </c>
      <c r="G72" s="643">
        <v>291000</v>
      </c>
      <c r="H72" s="643">
        <v>291000</v>
      </c>
      <c r="I72" s="644">
        <f>C72+F72</f>
        <v>513840</v>
      </c>
      <c r="J72" s="927"/>
    </row>
    <row r="73" spans="1:10" ht="12.75">
      <c r="A73" s="631" t="s">
        <v>94</v>
      </c>
      <c r="B73" s="654">
        <f>C73+E73+H73</f>
        <v>0</v>
      </c>
      <c r="C73" s="643"/>
      <c r="D73" s="643"/>
      <c r="E73" s="643"/>
      <c r="F73" s="643"/>
      <c r="G73" s="643"/>
      <c r="H73" s="643"/>
      <c r="I73" s="644">
        <f>C73+F73</f>
        <v>0</v>
      </c>
      <c r="J73" s="927"/>
    </row>
    <row r="74" spans="1:10" ht="13.5" thickBot="1">
      <c r="A74" s="632"/>
      <c r="B74" s="656">
        <f>C74+E74+H74</f>
        <v>0</v>
      </c>
      <c r="C74" s="647"/>
      <c r="D74" s="647"/>
      <c r="E74" s="643"/>
      <c r="F74" s="647"/>
      <c r="G74" s="647"/>
      <c r="H74" s="643"/>
      <c r="I74" s="648">
        <f>C74+F74</f>
        <v>0</v>
      </c>
      <c r="J74" s="927"/>
    </row>
    <row r="75" spans="1:10" ht="13.5" thickBot="1">
      <c r="A75" s="633" t="s">
        <v>74</v>
      </c>
      <c r="B75" s="655">
        <f aca="true" t="shared" si="11" ref="B75:I75">SUM(B70:B74)</f>
        <v>18690590</v>
      </c>
      <c r="C75" s="645">
        <f t="shared" si="11"/>
        <v>412750</v>
      </c>
      <c r="D75" s="645">
        <f t="shared" si="11"/>
        <v>17986840</v>
      </c>
      <c r="E75" s="645">
        <f t="shared" si="11"/>
        <v>17986840</v>
      </c>
      <c r="F75" s="645">
        <f t="shared" si="11"/>
        <v>17986840</v>
      </c>
      <c r="G75" s="645">
        <f t="shared" si="11"/>
        <v>291000</v>
      </c>
      <c r="H75" s="645">
        <f t="shared" si="11"/>
        <v>291000</v>
      </c>
      <c r="I75" s="646">
        <f t="shared" si="11"/>
        <v>18399590</v>
      </c>
      <c r="J75" s="927"/>
    </row>
    <row r="76" ht="12.75">
      <c r="J76" s="927"/>
    </row>
    <row r="77" ht="12.75">
      <c r="J77" s="927"/>
    </row>
    <row r="78" spans="1:10" ht="14.25">
      <c r="A78" s="948" t="s">
        <v>747</v>
      </c>
      <c r="B78" s="948"/>
      <c r="C78" s="949" t="s">
        <v>1412</v>
      </c>
      <c r="D78" s="949"/>
      <c r="E78" s="949"/>
      <c r="F78" s="949"/>
      <c r="G78" s="949"/>
      <c r="H78" s="949"/>
      <c r="I78" s="949"/>
      <c r="J78" s="927"/>
    </row>
    <row r="79" spans="1:10" ht="15.75" thickBot="1">
      <c r="A79" s="618"/>
      <c r="B79" s="618"/>
      <c r="C79" s="618"/>
      <c r="D79" s="618"/>
      <c r="E79" s="618"/>
      <c r="F79" s="618"/>
      <c r="G79" s="618"/>
      <c r="H79" s="928" t="s">
        <v>733</v>
      </c>
      <c r="I79" s="928"/>
      <c r="J79" s="927"/>
    </row>
    <row r="80" spans="1:10" ht="13.5" customHeight="1" thickBot="1">
      <c r="A80" s="929" t="s">
        <v>83</v>
      </c>
      <c r="B80" s="932" t="s">
        <v>440</v>
      </c>
      <c r="C80" s="933"/>
      <c r="D80" s="933"/>
      <c r="E80" s="933"/>
      <c r="F80" s="934"/>
      <c r="G80" s="934"/>
      <c r="H80" s="934"/>
      <c r="I80" s="935"/>
      <c r="J80" s="927"/>
    </row>
    <row r="81" spans="1:10" ht="13.5" customHeight="1" thickBot="1">
      <c r="A81" s="930"/>
      <c r="B81" s="936" t="str">
        <f>B59</f>
        <v>Módosítás utáni összes forrás, kiadás</v>
      </c>
      <c r="C81" s="939" t="s">
        <v>745</v>
      </c>
      <c r="D81" s="940"/>
      <c r="E81" s="940"/>
      <c r="F81" s="940"/>
      <c r="G81" s="940"/>
      <c r="H81" s="940"/>
      <c r="I81" s="941"/>
      <c r="J81" s="927"/>
    </row>
    <row r="82" spans="1:10" ht="48.75" thickBot="1">
      <c r="A82" s="930"/>
      <c r="B82" s="937"/>
      <c r="C82" s="942" t="str">
        <f>CONCATENATE(Z_TARTALOMJEGYZÉK!$A$1,".  előtti forrás, kiadás")</f>
        <v>2019.  előtti forrás, kiadás</v>
      </c>
      <c r="D82" s="619" t="s">
        <v>442</v>
      </c>
      <c r="E82" s="619" t="s">
        <v>443</v>
      </c>
      <c r="F82" s="620" t="str">
        <f>CONCATENATE("Összes teljesítés ",Z_TARTALOMJEGYZÉK!$A$1,". XII.31 -ig")</f>
        <v>Összes teljesítés 2019. XII.31 -ig</v>
      </c>
      <c r="G82" s="620" t="s">
        <v>442</v>
      </c>
      <c r="H82" s="620" t="s">
        <v>443</v>
      </c>
      <c r="I82" s="620" t="str">
        <f>CONCATENATE("Összes teljesítés ",Z_TARTALOMJEGYZÉK!$A$1,". XII.31 -ig")</f>
        <v>Összes teljesítés 2019. XII.31 -ig</v>
      </c>
      <c r="J82" s="927"/>
    </row>
    <row r="83" spans="1:10" ht="13.5" thickBot="1">
      <c r="A83" s="931"/>
      <c r="B83" s="938"/>
      <c r="C83" s="943"/>
      <c r="D83" s="944" t="str">
        <f>CONCATENATE(Z_TARTALOMJEGYZÉK!$A$1,". évi")</f>
        <v>2019. évi</v>
      </c>
      <c r="E83" s="945"/>
      <c r="F83" s="946"/>
      <c r="G83" s="944" t="str">
        <f>CONCATENATE(Z_TARTALOMJEGYZÉK!$A$1,". után")</f>
        <v>2019. után</v>
      </c>
      <c r="H83" s="947"/>
      <c r="I83" s="946"/>
      <c r="J83" s="927"/>
    </row>
    <row r="84" spans="1:10" ht="13.5" thickBot="1">
      <c r="A84" s="621" t="s">
        <v>382</v>
      </c>
      <c r="B84" s="622" t="s">
        <v>750</v>
      </c>
      <c r="C84" s="623" t="s">
        <v>384</v>
      </c>
      <c r="D84" s="624" t="s">
        <v>386</v>
      </c>
      <c r="E84" s="624" t="s">
        <v>385</v>
      </c>
      <c r="F84" s="623" t="s">
        <v>387</v>
      </c>
      <c r="G84" s="623" t="s">
        <v>388</v>
      </c>
      <c r="H84" s="623" t="s">
        <v>389</v>
      </c>
      <c r="I84" s="625" t="s">
        <v>749</v>
      </c>
      <c r="J84" s="927"/>
    </row>
    <row r="85" spans="1:10" ht="12.75">
      <c r="A85" s="626" t="s">
        <v>84</v>
      </c>
      <c r="B85" s="652">
        <f aca="true" t="shared" si="12" ref="B85:B90">C85+E85+H85</f>
        <v>0</v>
      </c>
      <c r="C85" s="638"/>
      <c r="D85" s="639"/>
      <c r="E85" s="639"/>
      <c r="F85" s="649"/>
      <c r="G85" s="639"/>
      <c r="H85" s="640"/>
      <c r="I85" s="641">
        <f aca="true" t="shared" si="13" ref="I85:I90">C85+F85</f>
        <v>0</v>
      </c>
      <c r="J85" s="927"/>
    </row>
    <row r="86" spans="1:10" ht="12.75">
      <c r="A86" s="627" t="s">
        <v>95</v>
      </c>
      <c r="B86" s="653">
        <f t="shared" si="12"/>
        <v>0</v>
      </c>
      <c r="C86" s="642"/>
      <c r="D86" s="642"/>
      <c r="E86" s="643"/>
      <c r="F86" s="650"/>
      <c r="G86" s="642"/>
      <c r="H86" s="643"/>
      <c r="I86" s="644">
        <f t="shared" si="13"/>
        <v>0</v>
      </c>
      <c r="J86" s="927"/>
    </row>
    <row r="87" spans="1:10" ht="12.75">
      <c r="A87" s="628" t="s">
        <v>85</v>
      </c>
      <c r="B87" s="654">
        <f t="shared" si="12"/>
        <v>6604000</v>
      </c>
      <c r="C87" s="643">
        <v>6537960</v>
      </c>
      <c r="D87" s="643"/>
      <c r="E87" s="643">
        <v>66040</v>
      </c>
      <c r="F87" s="651"/>
      <c r="G87" s="643"/>
      <c r="H87" s="643"/>
      <c r="I87" s="644">
        <f t="shared" si="13"/>
        <v>6537960</v>
      </c>
      <c r="J87" s="927"/>
    </row>
    <row r="88" spans="1:10" ht="12.75">
      <c r="A88" s="628" t="s">
        <v>96</v>
      </c>
      <c r="B88" s="654">
        <f t="shared" si="12"/>
        <v>0</v>
      </c>
      <c r="C88" s="643"/>
      <c r="D88" s="643"/>
      <c r="E88" s="643"/>
      <c r="F88" s="651"/>
      <c r="G88" s="643"/>
      <c r="H88" s="643"/>
      <c r="I88" s="644">
        <f t="shared" si="13"/>
        <v>0</v>
      </c>
      <c r="J88" s="927"/>
    </row>
    <row r="89" spans="1:10" ht="12.75">
      <c r="A89" s="628" t="s">
        <v>86</v>
      </c>
      <c r="B89" s="654">
        <f t="shared" si="12"/>
        <v>0</v>
      </c>
      <c r="C89" s="643"/>
      <c r="D89" s="643"/>
      <c r="E89" s="643"/>
      <c r="F89" s="651"/>
      <c r="G89" s="643"/>
      <c r="H89" s="643"/>
      <c r="I89" s="644">
        <f t="shared" si="13"/>
        <v>0</v>
      </c>
      <c r="J89" s="927"/>
    </row>
    <row r="90" spans="1:10" ht="13.5" thickBot="1">
      <c r="A90" s="628" t="s">
        <v>87</v>
      </c>
      <c r="B90" s="654">
        <f t="shared" si="12"/>
        <v>0</v>
      </c>
      <c r="C90" s="643"/>
      <c r="D90" s="643"/>
      <c r="E90" s="643"/>
      <c r="F90" s="651"/>
      <c r="G90" s="643"/>
      <c r="H90" s="643"/>
      <c r="I90" s="644">
        <f t="shared" si="13"/>
        <v>0</v>
      </c>
      <c r="J90" s="927"/>
    </row>
    <row r="91" spans="1:10" ht="13.5" thickBot="1">
      <c r="A91" s="629" t="s">
        <v>88</v>
      </c>
      <c r="B91" s="655">
        <f aca="true" t="shared" si="14" ref="B91:I91">B85+SUM(B87:B90)</f>
        <v>6604000</v>
      </c>
      <c r="C91" s="645">
        <f t="shared" si="14"/>
        <v>6537960</v>
      </c>
      <c r="D91" s="645">
        <f t="shared" si="14"/>
        <v>0</v>
      </c>
      <c r="E91" s="645">
        <f t="shared" si="14"/>
        <v>66040</v>
      </c>
      <c r="F91" s="645">
        <f t="shared" si="14"/>
        <v>0</v>
      </c>
      <c r="G91" s="645">
        <f t="shared" si="14"/>
        <v>0</v>
      </c>
      <c r="H91" s="645">
        <f t="shared" si="14"/>
        <v>0</v>
      </c>
      <c r="I91" s="646">
        <f t="shared" si="14"/>
        <v>6537960</v>
      </c>
      <c r="J91" s="927"/>
    </row>
    <row r="92" spans="1:10" ht="12.75">
      <c r="A92" s="630" t="s">
        <v>91</v>
      </c>
      <c r="B92" s="652">
        <f>C92+E92+H92</f>
        <v>0</v>
      </c>
      <c r="C92" s="639"/>
      <c r="D92" s="639"/>
      <c r="E92" s="639"/>
      <c r="F92" s="639"/>
      <c r="G92" s="639"/>
      <c r="H92" s="639"/>
      <c r="I92" s="641">
        <f>C92+F92</f>
        <v>0</v>
      </c>
      <c r="J92" s="927"/>
    </row>
    <row r="93" spans="1:10" ht="12.75">
      <c r="A93" s="631" t="s">
        <v>92</v>
      </c>
      <c r="B93" s="654"/>
      <c r="C93" s="643"/>
      <c r="D93" s="643"/>
      <c r="E93" s="643"/>
      <c r="F93" s="643"/>
      <c r="G93" s="643"/>
      <c r="H93" s="643"/>
      <c r="I93" s="644">
        <f>C93+F93</f>
        <v>0</v>
      </c>
      <c r="J93" s="927"/>
    </row>
    <row r="94" spans="1:10" ht="12.75">
      <c r="A94" s="631" t="s">
        <v>93</v>
      </c>
      <c r="B94" s="654">
        <f>C94+E94+H94</f>
        <v>6604000</v>
      </c>
      <c r="C94" s="643">
        <v>3302001</v>
      </c>
      <c r="D94" s="643">
        <v>2201332</v>
      </c>
      <c r="E94" s="643">
        <v>2201332</v>
      </c>
      <c r="F94" s="643">
        <v>2201332</v>
      </c>
      <c r="G94" s="643">
        <v>1100667</v>
      </c>
      <c r="H94" s="643">
        <v>1100667</v>
      </c>
      <c r="I94" s="644">
        <f>C94+F94</f>
        <v>5503333</v>
      </c>
      <c r="J94" s="927"/>
    </row>
    <row r="95" spans="1:10" ht="12.75">
      <c r="A95" s="631" t="s">
        <v>94</v>
      </c>
      <c r="B95" s="654">
        <f>C95+E95+H95</f>
        <v>0</v>
      </c>
      <c r="C95" s="643"/>
      <c r="D95" s="643"/>
      <c r="E95" s="643"/>
      <c r="F95" s="643"/>
      <c r="G95" s="643"/>
      <c r="H95" s="643"/>
      <c r="I95" s="644">
        <f>C95+F95</f>
        <v>0</v>
      </c>
      <c r="J95" s="927"/>
    </row>
    <row r="96" spans="1:10" ht="13.5" thickBot="1">
      <c r="A96" s="632"/>
      <c r="B96" s="656">
        <f>C96+E96+H96</f>
        <v>0</v>
      </c>
      <c r="C96" s="647"/>
      <c r="D96" s="647"/>
      <c r="E96" s="643"/>
      <c r="F96" s="647"/>
      <c r="G96" s="647"/>
      <c r="H96" s="643"/>
      <c r="I96" s="648">
        <f>C96+F96</f>
        <v>0</v>
      </c>
      <c r="J96" s="927"/>
    </row>
    <row r="97" spans="1:10" ht="13.5" thickBot="1">
      <c r="A97" s="633" t="s">
        <v>74</v>
      </c>
      <c r="B97" s="655">
        <f aca="true" t="shared" si="15" ref="B97:I97">SUM(B92:B96)</f>
        <v>6604000</v>
      </c>
      <c r="C97" s="645">
        <f t="shared" si="15"/>
        <v>3302001</v>
      </c>
      <c r="D97" s="645">
        <f t="shared" si="15"/>
        <v>2201332</v>
      </c>
      <c r="E97" s="645">
        <f t="shared" si="15"/>
        <v>2201332</v>
      </c>
      <c r="F97" s="645">
        <f t="shared" si="15"/>
        <v>2201332</v>
      </c>
      <c r="G97" s="645">
        <f t="shared" si="15"/>
        <v>1100667</v>
      </c>
      <c r="H97" s="645">
        <f t="shared" si="15"/>
        <v>1100667</v>
      </c>
      <c r="I97" s="646">
        <f t="shared" si="15"/>
        <v>5503333</v>
      </c>
      <c r="J97" s="927"/>
    </row>
    <row r="98" ht="12.75">
      <c r="J98" s="927"/>
    </row>
    <row r="99" ht="12.75">
      <c r="J99" s="927"/>
    </row>
    <row r="100" spans="1:10" ht="14.25">
      <c r="A100" s="948" t="s">
        <v>747</v>
      </c>
      <c r="B100" s="948"/>
      <c r="C100" s="949" t="s">
        <v>1413</v>
      </c>
      <c r="D100" s="949"/>
      <c r="E100" s="949"/>
      <c r="F100" s="949"/>
      <c r="G100" s="949"/>
      <c r="H100" s="949"/>
      <c r="I100" s="949"/>
      <c r="J100" s="927"/>
    </row>
    <row r="101" spans="1:10" ht="15.75" thickBot="1">
      <c r="A101" s="618"/>
      <c r="B101" s="618"/>
      <c r="C101" s="618"/>
      <c r="D101" s="618"/>
      <c r="E101" s="618"/>
      <c r="F101" s="618"/>
      <c r="G101" s="618"/>
      <c r="H101" s="928" t="s">
        <v>733</v>
      </c>
      <c r="I101" s="928"/>
      <c r="J101" s="927"/>
    </row>
    <row r="102" spans="1:10" ht="13.5" customHeight="1" thickBot="1">
      <c r="A102" s="929" t="s">
        <v>83</v>
      </c>
      <c r="B102" s="932" t="s">
        <v>440</v>
      </c>
      <c r="C102" s="933"/>
      <c r="D102" s="933"/>
      <c r="E102" s="933"/>
      <c r="F102" s="934"/>
      <c r="G102" s="934"/>
      <c r="H102" s="934"/>
      <c r="I102" s="935"/>
      <c r="J102" s="927"/>
    </row>
    <row r="103" spans="1:10" ht="13.5" customHeight="1" thickBot="1">
      <c r="A103" s="930"/>
      <c r="B103" s="936" t="str">
        <f>B81</f>
        <v>Módosítás utáni összes forrás, kiadás</v>
      </c>
      <c r="C103" s="939" t="s">
        <v>745</v>
      </c>
      <c r="D103" s="940"/>
      <c r="E103" s="940"/>
      <c r="F103" s="940"/>
      <c r="G103" s="940"/>
      <c r="H103" s="940"/>
      <c r="I103" s="941"/>
      <c r="J103" s="927"/>
    </row>
    <row r="104" spans="1:10" ht="48.75" customHeight="1" thickBot="1">
      <c r="A104" s="930"/>
      <c r="B104" s="937"/>
      <c r="C104" s="942" t="str">
        <f>CONCATENATE(Z_TARTALOMJEGYZÉK!$A$1,".  előtti forrás, kiadás")</f>
        <v>2019.  előtti forrás, kiadás</v>
      </c>
      <c r="D104" s="619" t="s">
        <v>442</v>
      </c>
      <c r="E104" s="619" t="s">
        <v>443</v>
      </c>
      <c r="F104" s="620" t="str">
        <f>CONCATENATE("Összes teljesítés ",Z_TARTALOMJEGYZÉK!$A$1,". XII.31 -ig")</f>
        <v>Összes teljesítés 2019. XII.31 -ig</v>
      </c>
      <c r="G104" s="620" t="s">
        <v>442</v>
      </c>
      <c r="H104" s="620" t="s">
        <v>443</v>
      </c>
      <c r="I104" s="620" t="str">
        <f>CONCATENATE("Összes teljesítés ",Z_TARTALOMJEGYZÉK!$A$1,". XII.31 -ig")</f>
        <v>Összes teljesítés 2019. XII.31 -ig</v>
      </c>
      <c r="J104" s="927"/>
    </row>
    <row r="105" spans="1:10" ht="13.5" thickBot="1">
      <c r="A105" s="931"/>
      <c r="B105" s="938"/>
      <c r="C105" s="943"/>
      <c r="D105" s="944" t="str">
        <f>CONCATENATE(Z_TARTALOMJEGYZÉK!$A$1,". évi")</f>
        <v>2019. évi</v>
      </c>
      <c r="E105" s="945"/>
      <c r="F105" s="946"/>
      <c r="G105" s="944" t="str">
        <f>CONCATENATE(Z_TARTALOMJEGYZÉK!$A$1,". után")</f>
        <v>2019. után</v>
      </c>
      <c r="H105" s="947"/>
      <c r="I105" s="946"/>
      <c r="J105" s="927"/>
    </row>
    <row r="106" spans="1:10" ht="13.5" thickBot="1">
      <c r="A106" s="621" t="s">
        <v>382</v>
      </c>
      <c r="B106" s="622" t="s">
        <v>750</v>
      </c>
      <c r="C106" s="623" t="s">
        <v>384</v>
      </c>
      <c r="D106" s="624" t="s">
        <v>386</v>
      </c>
      <c r="E106" s="624" t="s">
        <v>385</v>
      </c>
      <c r="F106" s="623" t="s">
        <v>387</v>
      </c>
      <c r="G106" s="623" t="s">
        <v>388</v>
      </c>
      <c r="H106" s="623" t="s">
        <v>389</v>
      </c>
      <c r="I106" s="625" t="s">
        <v>749</v>
      </c>
      <c r="J106" s="927"/>
    </row>
    <row r="107" spans="1:10" ht="12.75">
      <c r="A107" s="626" t="s">
        <v>84</v>
      </c>
      <c r="B107" s="652">
        <f aca="true" t="shared" si="16" ref="B107:B112">C107+E107+H107</f>
        <v>0</v>
      </c>
      <c r="C107" s="638"/>
      <c r="D107" s="639"/>
      <c r="E107" s="639"/>
      <c r="F107" s="649"/>
      <c r="G107" s="639"/>
      <c r="H107" s="640"/>
      <c r="I107" s="641">
        <f aca="true" t="shared" si="17" ref="I107:I112">C107+F107</f>
        <v>0</v>
      </c>
      <c r="J107" s="927"/>
    </row>
    <row r="108" spans="1:10" ht="12.75">
      <c r="A108" s="627" t="s">
        <v>95</v>
      </c>
      <c r="B108" s="653">
        <f t="shared" si="16"/>
        <v>0</v>
      </c>
      <c r="C108" s="642"/>
      <c r="D108" s="642"/>
      <c r="E108" s="643"/>
      <c r="F108" s="650"/>
      <c r="G108" s="642"/>
      <c r="H108" s="643"/>
      <c r="I108" s="644">
        <f t="shared" si="17"/>
        <v>0</v>
      </c>
      <c r="J108" s="927"/>
    </row>
    <row r="109" spans="1:10" ht="12.75">
      <c r="A109" s="628" t="s">
        <v>85</v>
      </c>
      <c r="B109" s="654">
        <f t="shared" si="16"/>
        <v>262575400</v>
      </c>
      <c r="C109" s="643">
        <v>253654800</v>
      </c>
      <c r="D109" s="643"/>
      <c r="E109" s="643"/>
      <c r="F109" s="651"/>
      <c r="G109" s="643"/>
      <c r="H109" s="643">
        <v>8920600</v>
      </c>
      <c r="I109" s="644">
        <f t="shared" si="17"/>
        <v>253654800</v>
      </c>
      <c r="J109" s="927"/>
    </row>
    <row r="110" spans="1:10" ht="12.75">
      <c r="A110" s="628" t="s">
        <v>96</v>
      </c>
      <c r="B110" s="654">
        <f t="shared" si="16"/>
        <v>0</v>
      </c>
      <c r="C110" s="643"/>
      <c r="D110" s="643"/>
      <c r="E110" s="643"/>
      <c r="F110" s="651"/>
      <c r="G110" s="643"/>
      <c r="H110" s="643"/>
      <c r="I110" s="644">
        <f t="shared" si="17"/>
        <v>0</v>
      </c>
      <c r="J110" s="927"/>
    </row>
    <row r="111" spans="1:10" ht="12.75">
      <c r="A111" s="628" t="s">
        <v>86</v>
      </c>
      <c r="B111" s="654">
        <f t="shared" si="16"/>
        <v>0</v>
      </c>
      <c r="C111" s="643"/>
      <c r="D111" s="643"/>
      <c r="E111" s="643"/>
      <c r="F111" s="651"/>
      <c r="G111" s="643"/>
      <c r="H111" s="643"/>
      <c r="I111" s="644">
        <f t="shared" si="17"/>
        <v>0</v>
      </c>
      <c r="J111" s="927"/>
    </row>
    <row r="112" spans="1:10" ht="13.5" thickBot="1">
      <c r="A112" s="628" t="s">
        <v>87</v>
      </c>
      <c r="B112" s="654">
        <f t="shared" si="16"/>
        <v>0</v>
      </c>
      <c r="C112" s="643"/>
      <c r="D112" s="643"/>
      <c r="E112" s="643"/>
      <c r="F112" s="651"/>
      <c r="G112" s="643"/>
      <c r="H112" s="643"/>
      <c r="I112" s="644">
        <f t="shared" si="17"/>
        <v>0</v>
      </c>
      <c r="J112" s="927"/>
    </row>
    <row r="113" spans="1:10" ht="13.5" thickBot="1">
      <c r="A113" s="629" t="s">
        <v>88</v>
      </c>
      <c r="B113" s="655">
        <f aca="true" t="shared" si="18" ref="B113:I113">B107+SUM(B109:B112)</f>
        <v>262575400</v>
      </c>
      <c r="C113" s="645">
        <f t="shared" si="18"/>
        <v>253654800</v>
      </c>
      <c r="D113" s="645">
        <f t="shared" si="18"/>
        <v>0</v>
      </c>
      <c r="E113" s="645">
        <f t="shared" si="18"/>
        <v>0</v>
      </c>
      <c r="F113" s="645">
        <f t="shared" si="18"/>
        <v>0</v>
      </c>
      <c r="G113" s="645">
        <f t="shared" si="18"/>
        <v>0</v>
      </c>
      <c r="H113" s="645">
        <f t="shared" si="18"/>
        <v>8920600</v>
      </c>
      <c r="I113" s="646">
        <f t="shared" si="18"/>
        <v>253654800</v>
      </c>
      <c r="J113" s="927"/>
    </row>
    <row r="114" spans="1:10" ht="12.75">
      <c r="A114" s="630" t="s">
        <v>91</v>
      </c>
      <c r="B114" s="652">
        <f>C114+E114+H114</f>
        <v>0</v>
      </c>
      <c r="C114" s="639"/>
      <c r="D114" s="639"/>
      <c r="E114" s="639"/>
      <c r="F114" s="639"/>
      <c r="G114" s="639"/>
      <c r="H114" s="639"/>
      <c r="I114" s="641">
        <f>C114+F114</f>
        <v>0</v>
      </c>
      <c r="J114" s="927"/>
    </row>
    <row r="115" spans="1:10" ht="12.75">
      <c r="A115" s="631" t="s">
        <v>92</v>
      </c>
      <c r="B115" s="654">
        <f>C115+E115+H115</f>
        <v>196150000</v>
      </c>
      <c r="C115" s="643">
        <v>196150000</v>
      </c>
      <c r="D115" s="643"/>
      <c r="E115" s="643"/>
      <c r="F115" s="643"/>
      <c r="G115" s="643"/>
      <c r="H115" s="643"/>
      <c r="I115" s="644">
        <f>C115+F115</f>
        <v>196150000</v>
      </c>
      <c r="J115" s="927"/>
    </row>
    <row r="116" spans="1:10" ht="12.75">
      <c r="A116" s="631" t="s">
        <v>93</v>
      </c>
      <c r="B116" s="654">
        <v>66425400</v>
      </c>
      <c r="C116" s="643">
        <v>66425400</v>
      </c>
      <c r="D116" s="643"/>
      <c r="E116" s="643"/>
      <c r="F116" s="643"/>
      <c r="G116" s="643"/>
      <c r="H116" s="643"/>
      <c r="I116" s="644">
        <f>C116+F116</f>
        <v>66425400</v>
      </c>
      <c r="J116" s="927"/>
    </row>
    <row r="117" spans="1:10" ht="12.75">
      <c r="A117" s="631" t="s">
        <v>94</v>
      </c>
      <c r="B117" s="654">
        <f>C117+E117+H117</f>
        <v>0</v>
      </c>
      <c r="C117" s="643"/>
      <c r="D117" s="643"/>
      <c r="E117" s="643"/>
      <c r="F117" s="643"/>
      <c r="G117" s="643"/>
      <c r="H117" s="643"/>
      <c r="I117" s="644">
        <f>C117+F117</f>
        <v>0</v>
      </c>
      <c r="J117" s="927"/>
    </row>
    <row r="118" spans="1:10" ht="13.5" thickBot="1">
      <c r="A118" s="632"/>
      <c r="B118" s="656">
        <f>C118+E118+H118</f>
        <v>0</v>
      </c>
      <c r="C118" s="647"/>
      <c r="D118" s="647"/>
      <c r="E118" s="643"/>
      <c r="F118" s="647"/>
      <c r="G118" s="647"/>
      <c r="H118" s="643"/>
      <c r="I118" s="648">
        <f>C118+F118</f>
        <v>0</v>
      </c>
      <c r="J118" s="927"/>
    </row>
    <row r="119" spans="1:10" ht="13.5" thickBot="1">
      <c r="A119" s="633" t="s">
        <v>74</v>
      </c>
      <c r="B119" s="655">
        <f aca="true" t="shared" si="19" ref="B119:I119">SUM(B114:B118)</f>
        <v>262575400</v>
      </c>
      <c r="C119" s="645">
        <f t="shared" si="19"/>
        <v>262575400</v>
      </c>
      <c r="D119" s="645">
        <f t="shared" si="19"/>
        <v>0</v>
      </c>
      <c r="E119" s="645">
        <f t="shared" si="19"/>
        <v>0</v>
      </c>
      <c r="F119" s="645">
        <f t="shared" si="19"/>
        <v>0</v>
      </c>
      <c r="G119" s="645">
        <f t="shared" si="19"/>
        <v>0</v>
      </c>
      <c r="H119" s="645">
        <f t="shared" si="19"/>
        <v>0</v>
      </c>
      <c r="I119" s="646">
        <f t="shared" si="19"/>
        <v>262575400</v>
      </c>
      <c r="J119" s="927"/>
    </row>
    <row r="120" ht="12.75">
      <c r="J120" s="927"/>
    </row>
    <row r="121" ht="12.75">
      <c r="J121" s="927"/>
    </row>
    <row r="122" spans="1:10" ht="14.25">
      <c r="A122" s="948" t="s">
        <v>747</v>
      </c>
      <c r="B122" s="948"/>
      <c r="C122" s="949" t="s">
        <v>1414</v>
      </c>
      <c r="D122" s="949"/>
      <c r="E122" s="949"/>
      <c r="F122" s="949"/>
      <c r="G122" s="949"/>
      <c r="H122" s="949"/>
      <c r="I122" s="949"/>
      <c r="J122" s="927"/>
    </row>
    <row r="123" spans="1:10" ht="15.75" thickBot="1">
      <c r="A123" s="618"/>
      <c r="B123" s="618"/>
      <c r="C123" s="618"/>
      <c r="D123" s="618"/>
      <c r="E123" s="618"/>
      <c r="F123" s="618"/>
      <c r="G123" s="618"/>
      <c r="H123" s="928" t="s">
        <v>733</v>
      </c>
      <c r="I123" s="928"/>
      <c r="J123" s="927"/>
    </row>
    <row r="124" spans="1:10" ht="13.5" customHeight="1" thickBot="1">
      <c r="A124" s="929" t="s">
        <v>83</v>
      </c>
      <c r="B124" s="932" t="s">
        <v>440</v>
      </c>
      <c r="C124" s="933"/>
      <c r="D124" s="933"/>
      <c r="E124" s="933"/>
      <c r="F124" s="934"/>
      <c r="G124" s="934"/>
      <c r="H124" s="934"/>
      <c r="I124" s="935"/>
      <c r="J124" s="927"/>
    </row>
    <row r="125" spans="1:10" ht="13.5" customHeight="1" thickBot="1">
      <c r="A125" s="930"/>
      <c r="B125" s="936" t="str">
        <f>B103</f>
        <v>Módosítás utáni összes forrás, kiadás</v>
      </c>
      <c r="C125" s="939" t="s">
        <v>745</v>
      </c>
      <c r="D125" s="940"/>
      <c r="E125" s="940"/>
      <c r="F125" s="940"/>
      <c r="G125" s="940"/>
      <c r="H125" s="940"/>
      <c r="I125" s="941"/>
      <c r="J125" s="927"/>
    </row>
    <row r="126" spans="1:10" ht="48.75" thickBot="1">
      <c r="A126" s="930"/>
      <c r="B126" s="937"/>
      <c r="C126" s="942" t="str">
        <f>CONCATENATE(Z_TARTALOMJEGYZÉK!$A$1,".  előtti forrás, kiadás")</f>
        <v>2019.  előtti forrás, kiadás</v>
      </c>
      <c r="D126" s="619" t="s">
        <v>442</v>
      </c>
      <c r="E126" s="619" t="s">
        <v>443</v>
      </c>
      <c r="F126" s="620" t="str">
        <f>CONCATENATE("Összes teljesítés ",Z_TARTALOMJEGYZÉK!$A$1,". XII.31 -ig")</f>
        <v>Összes teljesítés 2019. XII.31 -ig</v>
      </c>
      <c r="G126" s="620" t="s">
        <v>442</v>
      </c>
      <c r="H126" s="620" t="s">
        <v>443</v>
      </c>
      <c r="I126" s="620" t="str">
        <f>CONCATENATE("Összes teljesítés ",Z_TARTALOMJEGYZÉK!$A$1,". XII.31 -ig")</f>
        <v>Összes teljesítés 2019. XII.31 -ig</v>
      </c>
      <c r="J126" s="927"/>
    </row>
    <row r="127" spans="1:10" ht="13.5" thickBot="1">
      <c r="A127" s="931"/>
      <c r="B127" s="938"/>
      <c r="C127" s="943"/>
      <c r="D127" s="944" t="str">
        <f>CONCATENATE(Z_TARTALOMJEGYZÉK!$A$1,". évi")</f>
        <v>2019. évi</v>
      </c>
      <c r="E127" s="945"/>
      <c r="F127" s="946"/>
      <c r="G127" s="944" t="str">
        <f>CONCATENATE(Z_TARTALOMJEGYZÉK!$A$1,". után")</f>
        <v>2019. után</v>
      </c>
      <c r="H127" s="947"/>
      <c r="I127" s="946"/>
      <c r="J127" s="927"/>
    </row>
    <row r="128" spans="1:10" ht="13.5" thickBot="1">
      <c r="A128" s="621" t="s">
        <v>382</v>
      </c>
      <c r="B128" s="622" t="s">
        <v>750</v>
      </c>
      <c r="C128" s="623" t="s">
        <v>384</v>
      </c>
      <c r="D128" s="624" t="s">
        <v>386</v>
      </c>
      <c r="E128" s="624" t="s">
        <v>385</v>
      </c>
      <c r="F128" s="623" t="s">
        <v>387</v>
      </c>
      <c r="G128" s="623" t="s">
        <v>388</v>
      </c>
      <c r="H128" s="623" t="s">
        <v>389</v>
      </c>
      <c r="I128" s="625" t="s">
        <v>749</v>
      </c>
      <c r="J128" s="927"/>
    </row>
    <row r="129" spans="1:10" ht="12.75">
      <c r="A129" s="626" t="s">
        <v>84</v>
      </c>
      <c r="B129" s="652">
        <f aca="true" t="shared" si="20" ref="B129:B134">C129+E129+H129</f>
        <v>0</v>
      </c>
      <c r="C129" s="638"/>
      <c r="D129" s="639"/>
      <c r="E129" s="639"/>
      <c r="F129" s="649"/>
      <c r="G129" s="639"/>
      <c r="H129" s="640"/>
      <c r="I129" s="641">
        <f aca="true" t="shared" si="21" ref="I129:I134">C129+F129</f>
        <v>0</v>
      </c>
      <c r="J129" s="927"/>
    </row>
    <row r="130" spans="1:10" ht="12.75">
      <c r="A130" s="627" t="s">
        <v>95</v>
      </c>
      <c r="B130" s="653">
        <f t="shared" si="20"/>
        <v>0</v>
      </c>
      <c r="C130" s="642"/>
      <c r="D130" s="642"/>
      <c r="E130" s="643"/>
      <c r="F130" s="650"/>
      <c r="G130" s="642"/>
      <c r="H130" s="643"/>
      <c r="I130" s="644">
        <f t="shared" si="21"/>
        <v>0</v>
      </c>
      <c r="J130" s="927"/>
    </row>
    <row r="131" spans="1:10" ht="12.75">
      <c r="A131" s="628" t="s">
        <v>85</v>
      </c>
      <c r="B131" s="654">
        <f t="shared" si="20"/>
        <v>520340977</v>
      </c>
      <c r="C131" s="643">
        <v>467440247</v>
      </c>
      <c r="D131" s="643"/>
      <c r="E131" s="643"/>
      <c r="F131" s="651"/>
      <c r="G131" s="643">
        <v>52900730</v>
      </c>
      <c r="H131" s="643">
        <v>52900730</v>
      </c>
      <c r="I131" s="644">
        <f t="shared" si="21"/>
        <v>467440247</v>
      </c>
      <c r="J131" s="927"/>
    </row>
    <row r="132" spans="1:10" ht="12.75">
      <c r="A132" s="628" t="s">
        <v>96</v>
      </c>
      <c r="B132" s="654">
        <f t="shared" si="20"/>
        <v>0</v>
      </c>
      <c r="C132" s="643"/>
      <c r="D132" s="643"/>
      <c r="E132" s="643"/>
      <c r="F132" s="651"/>
      <c r="G132" s="643"/>
      <c r="H132" s="643"/>
      <c r="I132" s="644">
        <f t="shared" si="21"/>
        <v>0</v>
      </c>
      <c r="J132" s="927"/>
    </row>
    <row r="133" spans="1:10" ht="12.75">
      <c r="A133" s="628" t="s">
        <v>86</v>
      </c>
      <c r="B133" s="654">
        <f t="shared" si="20"/>
        <v>0</v>
      </c>
      <c r="C133" s="643"/>
      <c r="D133" s="643"/>
      <c r="E133" s="643"/>
      <c r="F133" s="651"/>
      <c r="G133" s="643"/>
      <c r="H133" s="643"/>
      <c r="I133" s="644">
        <f t="shared" si="21"/>
        <v>0</v>
      </c>
      <c r="J133" s="927"/>
    </row>
    <row r="134" spans="1:10" ht="13.5" thickBot="1">
      <c r="A134" s="628" t="s">
        <v>87</v>
      </c>
      <c r="B134" s="654">
        <f t="shared" si="20"/>
        <v>0</v>
      </c>
      <c r="C134" s="643"/>
      <c r="D134" s="643"/>
      <c r="E134" s="643"/>
      <c r="F134" s="651"/>
      <c r="G134" s="643"/>
      <c r="H134" s="643"/>
      <c r="I134" s="644">
        <f t="shared" si="21"/>
        <v>0</v>
      </c>
      <c r="J134" s="927"/>
    </row>
    <row r="135" spans="1:10" ht="13.5" thickBot="1">
      <c r="A135" s="629" t="s">
        <v>88</v>
      </c>
      <c r="B135" s="655">
        <f aca="true" t="shared" si="22" ref="B135:I135">B129+SUM(B131:B134)</f>
        <v>520340977</v>
      </c>
      <c r="C135" s="645">
        <f t="shared" si="22"/>
        <v>467440247</v>
      </c>
      <c r="D135" s="645">
        <f t="shared" si="22"/>
        <v>0</v>
      </c>
      <c r="E135" s="645">
        <f t="shared" si="22"/>
        <v>0</v>
      </c>
      <c r="F135" s="645">
        <f t="shared" si="22"/>
        <v>0</v>
      </c>
      <c r="G135" s="645">
        <f t="shared" si="22"/>
        <v>52900730</v>
      </c>
      <c r="H135" s="645">
        <f t="shared" si="22"/>
        <v>52900730</v>
      </c>
      <c r="I135" s="646">
        <f t="shared" si="22"/>
        <v>467440247</v>
      </c>
      <c r="J135" s="927"/>
    </row>
    <row r="136" spans="1:10" ht="12.75">
      <c r="A136" s="630" t="s">
        <v>91</v>
      </c>
      <c r="B136" s="652">
        <f>C136+E136+H136</f>
        <v>0</v>
      </c>
      <c r="C136" s="639"/>
      <c r="D136" s="639"/>
      <c r="E136" s="639"/>
      <c r="F136" s="639"/>
      <c r="G136" s="639"/>
      <c r="H136" s="639"/>
      <c r="I136" s="641">
        <f>C136+F136</f>
        <v>0</v>
      </c>
      <c r="J136" s="927"/>
    </row>
    <row r="137" spans="1:10" ht="12.75">
      <c r="A137" s="631" t="s">
        <v>92</v>
      </c>
      <c r="B137" s="654">
        <f>C137+E137+H137</f>
        <v>516930897</v>
      </c>
      <c r="C137" s="643">
        <v>364183448</v>
      </c>
      <c r="D137" s="643">
        <v>102233776</v>
      </c>
      <c r="E137" s="643">
        <v>102233776</v>
      </c>
      <c r="F137" s="643">
        <v>102233776</v>
      </c>
      <c r="G137" s="643">
        <v>50513673</v>
      </c>
      <c r="H137" s="643">
        <v>50513673</v>
      </c>
      <c r="I137" s="644">
        <f>C137+F137</f>
        <v>466417224</v>
      </c>
      <c r="J137" s="927"/>
    </row>
    <row r="138" spans="1:10" ht="12.75">
      <c r="A138" s="631" t="s">
        <v>93</v>
      </c>
      <c r="B138" s="654">
        <f>C138+E138+H138</f>
        <v>3410080</v>
      </c>
      <c r="C138" s="643"/>
      <c r="D138" s="643">
        <v>1023023</v>
      </c>
      <c r="E138" s="643">
        <v>1023023</v>
      </c>
      <c r="F138" s="643">
        <v>1023023</v>
      </c>
      <c r="G138" s="643">
        <v>2387057</v>
      </c>
      <c r="H138" s="643">
        <v>2387057</v>
      </c>
      <c r="I138" s="644">
        <f>C138+F138</f>
        <v>1023023</v>
      </c>
      <c r="J138" s="927"/>
    </row>
    <row r="139" spans="1:10" ht="12.75">
      <c r="A139" s="631" t="s">
        <v>94</v>
      </c>
      <c r="B139" s="654">
        <f>C139+E139+H139</f>
        <v>0</v>
      </c>
      <c r="C139" s="643"/>
      <c r="D139" s="643"/>
      <c r="E139" s="643"/>
      <c r="F139" s="643"/>
      <c r="G139" s="643"/>
      <c r="H139" s="643"/>
      <c r="I139" s="644">
        <f>C139+F139</f>
        <v>0</v>
      </c>
      <c r="J139" s="927"/>
    </row>
    <row r="140" spans="1:10" ht="13.5" thickBot="1">
      <c r="A140" s="632"/>
      <c r="B140" s="656">
        <f>C140+E140+H140</f>
        <v>0</v>
      </c>
      <c r="C140" s="647"/>
      <c r="D140" s="647"/>
      <c r="E140" s="643"/>
      <c r="F140" s="647"/>
      <c r="G140" s="647"/>
      <c r="H140" s="643"/>
      <c r="I140" s="648">
        <f>C140+F140</f>
        <v>0</v>
      </c>
      <c r="J140" s="927"/>
    </row>
    <row r="141" spans="1:10" ht="13.5" thickBot="1">
      <c r="A141" s="633" t="s">
        <v>74</v>
      </c>
      <c r="B141" s="655">
        <f aca="true" t="shared" si="23" ref="B141:I141">SUM(B136:B140)</f>
        <v>520340977</v>
      </c>
      <c r="C141" s="645">
        <f t="shared" si="23"/>
        <v>364183448</v>
      </c>
      <c r="D141" s="645">
        <f t="shared" si="23"/>
        <v>103256799</v>
      </c>
      <c r="E141" s="645">
        <f t="shared" si="23"/>
        <v>103256799</v>
      </c>
      <c r="F141" s="645">
        <f t="shared" si="23"/>
        <v>103256799</v>
      </c>
      <c r="G141" s="645">
        <f t="shared" si="23"/>
        <v>52900730</v>
      </c>
      <c r="H141" s="645">
        <f t="shared" si="23"/>
        <v>52900730</v>
      </c>
      <c r="I141" s="646">
        <f t="shared" si="23"/>
        <v>467440247</v>
      </c>
      <c r="J141" s="927"/>
    </row>
    <row r="142" ht="12.75">
      <c r="J142" s="927"/>
    </row>
    <row r="143" ht="12.75">
      <c r="J143" s="927"/>
    </row>
    <row r="144" spans="1:10" ht="14.25">
      <c r="A144" s="948" t="s">
        <v>747</v>
      </c>
      <c r="B144" s="948"/>
      <c r="C144" s="949" t="s">
        <v>1415</v>
      </c>
      <c r="D144" s="949"/>
      <c r="E144" s="949"/>
      <c r="F144" s="949"/>
      <c r="G144" s="949"/>
      <c r="H144" s="949"/>
      <c r="I144" s="949"/>
      <c r="J144" s="927"/>
    </row>
    <row r="145" spans="1:10" ht="15.75" thickBot="1">
      <c r="A145" s="618"/>
      <c r="B145" s="618"/>
      <c r="C145" s="618"/>
      <c r="D145" s="618"/>
      <c r="E145" s="618"/>
      <c r="F145" s="618"/>
      <c r="G145" s="618"/>
      <c r="H145" s="928" t="s">
        <v>733</v>
      </c>
      <c r="I145" s="928"/>
      <c r="J145" s="927"/>
    </row>
    <row r="146" spans="1:10" ht="13.5" customHeight="1" thickBot="1">
      <c r="A146" s="929" t="s">
        <v>83</v>
      </c>
      <c r="B146" s="932" t="s">
        <v>440</v>
      </c>
      <c r="C146" s="933"/>
      <c r="D146" s="933"/>
      <c r="E146" s="933"/>
      <c r="F146" s="934"/>
      <c r="G146" s="934"/>
      <c r="H146" s="934"/>
      <c r="I146" s="935"/>
      <c r="J146" s="927"/>
    </row>
    <row r="147" spans="1:10" ht="13.5" customHeight="1" thickBot="1">
      <c r="A147" s="930"/>
      <c r="B147" s="936" t="str">
        <f>B125</f>
        <v>Módosítás utáni összes forrás, kiadás</v>
      </c>
      <c r="C147" s="939" t="s">
        <v>745</v>
      </c>
      <c r="D147" s="940"/>
      <c r="E147" s="940"/>
      <c r="F147" s="940"/>
      <c r="G147" s="940"/>
      <c r="H147" s="940"/>
      <c r="I147" s="941"/>
      <c r="J147" s="927"/>
    </row>
    <row r="148" spans="1:10" ht="48.75" thickBot="1">
      <c r="A148" s="930"/>
      <c r="B148" s="937"/>
      <c r="C148" s="942" t="str">
        <f>CONCATENATE(Z_TARTALOMJEGYZÉK!$A$1,".  előtti forrás, kiadás")</f>
        <v>2019.  előtti forrás, kiadás</v>
      </c>
      <c r="D148" s="619" t="s">
        <v>442</v>
      </c>
      <c r="E148" s="619" t="s">
        <v>443</v>
      </c>
      <c r="F148" s="620" t="str">
        <f>CONCATENATE("Összes teljesítés ",Z_TARTALOMJEGYZÉK!$A$1,". XII.31 -ig")</f>
        <v>Összes teljesítés 2019. XII.31 -ig</v>
      </c>
      <c r="G148" s="620" t="s">
        <v>442</v>
      </c>
      <c r="H148" s="620" t="s">
        <v>443</v>
      </c>
      <c r="I148" s="620" t="str">
        <f>CONCATENATE("Összes teljesítés ",Z_TARTALOMJEGYZÉK!$A$1,". XII.31 -ig")</f>
        <v>Összes teljesítés 2019. XII.31 -ig</v>
      </c>
      <c r="J148" s="927"/>
    </row>
    <row r="149" spans="1:10" ht="13.5" thickBot="1">
      <c r="A149" s="931"/>
      <c r="B149" s="938"/>
      <c r="C149" s="943"/>
      <c r="D149" s="944" t="str">
        <f>CONCATENATE(Z_TARTALOMJEGYZÉK!$A$1,". évi")</f>
        <v>2019. évi</v>
      </c>
      <c r="E149" s="945"/>
      <c r="F149" s="946"/>
      <c r="G149" s="944" t="str">
        <f>CONCATENATE(Z_TARTALOMJEGYZÉK!$A$1,". után")</f>
        <v>2019. után</v>
      </c>
      <c r="H149" s="947"/>
      <c r="I149" s="946"/>
      <c r="J149" s="927"/>
    </row>
    <row r="150" spans="1:10" ht="13.5" thickBot="1">
      <c r="A150" s="621" t="s">
        <v>382</v>
      </c>
      <c r="B150" s="622" t="s">
        <v>750</v>
      </c>
      <c r="C150" s="623" t="s">
        <v>384</v>
      </c>
      <c r="D150" s="624" t="s">
        <v>386</v>
      </c>
      <c r="E150" s="624" t="s">
        <v>385</v>
      </c>
      <c r="F150" s="623" t="s">
        <v>387</v>
      </c>
      <c r="G150" s="623" t="s">
        <v>388</v>
      </c>
      <c r="H150" s="623" t="s">
        <v>389</v>
      </c>
      <c r="I150" s="625" t="s">
        <v>749</v>
      </c>
      <c r="J150" s="927"/>
    </row>
    <row r="151" spans="1:10" ht="12.75">
      <c r="A151" s="626" t="s">
        <v>84</v>
      </c>
      <c r="B151" s="652">
        <f aca="true" t="shared" si="24" ref="B151:B156">C151+E151+H151</f>
        <v>0</v>
      </c>
      <c r="C151" s="638"/>
      <c r="D151" s="639"/>
      <c r="E151" s="639"/>
      <c r="F151" s="649"/>
      <c r="G151" s="639"/>
      <c r="H151" s="640"/>
      <c r="I151" s="641">
        <f aca="true" t="shared" si="25" ref="I151:I156">C151+F151</f>
        <v>0</v>
      </c>
      <c r="J151" s="927"/>
    </row>
    <row r="152" spans="1:10" ht="12.75">
      <c r="A152" s="627" t="s">
        <v>95</v>
      </c>
      <c r="B152" s="653">
        <f t="shared" si="24"/>
        <v>0</v>
      </c>
      <c r="C152" s="642"/>
      <c r="D152" s="642"/>
      <c r="E152" s="643"/>
      <c r="F152" s="650"/>
      <c r="G152" s="642"/>
      <c r="H152" s="643"/>
      <c r="I152" s="644">
        <f t="shared" si="25"/>
        <v>0</v>
      </c>
      <c r="J152" s="927"/>
    </row>
    <row r="153" spans="1:10" ht="12.75">
      <c r="A153" s="628" t="s">
        <v>85</v>
      </c>
      <c r="B153" s="654">
        <f t="shared" si="24"/>
        <v>8902250</v>
      </c>
      <c r="C153" s="643"/>
      <c r="D153" s="643"/>
      <c r="E153" s="643">
        <v>8902250</v>
      </c>
      <c r="F153" s="651">
        <v>8902250</v>
      </c>
      <c r="G153" s="643"/>
      <c r="H153" s="643"/>
      <c r="I153" s="644">
        <f t="shared" si="25"/>
        <v>8902250</v>
      </c>
      <c r="J153" s="927"/>
    </row>
    <row r="154" spans="1:10" ht="12.75">
      <c r="A154" s="628" t="s">
        <v>96</v>
      </c>
      <c r="B154" s="654">
        <f t="shared" si="24"/>
        <v>0</v>
      </c>
      <c r="C154" s="643"/>
      <c r="D154" s="643"/>
      <c r="E154" s="643"/>
      <c r="F154" s="651"/>
      <c r="G154" s="643"/>
      <c r="H154" s="643"/>
      <c r="I154" s="644">
        <f t="shared" si="25"/>
        <v>0</v>
      </c>
      <c r="J154" s="927"/>
    </row>
    <row r="155" spans="1:10" ht="12.75">
      <c r="A155" s="628" t="s">
        <v>86</v>
      </c>
      <c r="B155" s="654">
        <f t="shared" si="24"/>
        <v>0</v>
      </c>
      <c r="C155" s="643"/>
      <c r="D155" s="643"/>
      <c r="E155" s="643"/>
      <c r="F155" s="651"/>
      <c r="G155" s="643"/>
      <c r="H155" s="643"/>
      <c r="I155" s="644">
        <f t="shared" si="25"/>
        <v>0</v>
      </c>
      <c r="J155" s="927"/>
    </row>
    <row r="156" spans="1:10" ht="13.5" thickBot="1">
      <c r="A156" s="628" t="s">
        <v>87</v>
      </c>
      <c r="B156" s="654">
        <f t="shared" si="24"/>
        <v>0</v>
      </c>
      <c r="C156" s="643"/>
      <c r="D156" s="643"/>
      <c r="E156" s="643"/>
      <c r="F156" s="651"/>
      <c r="G156" s="643"/>
      <c r="H156" s="643"/>
      <c r="I156" s="644">
        <f t="shared" si="25"/>
        <v>0</v>
      </c>
      <c r="J156" s="927"/>
    </row>
    <row r="157" spans="1:10" ht="13.5" thickBot="1">
      <c r="A157" s="629" t="s">
        <v>88</v>
      </c>
      <c r="B157" s="655">
        <f aca="true" t="shared" si="26" ref="B157:I157">B151+SUM(B153:B156)</f>
        <v>8902250</v>
      </c>
      <c r="C157" s="645">
        <f t="shared" si="26"/>
        <v>0</v>
      </c>
      <c r="D157" s="645">
        <f t="shared" si="26"/>
        <v>0</v>
      </c>
      <c r="E157" s="645">
        <f t="shared" si="26"/>
        <v>8902250</v>
      </c>
      <c r="F157" s="645">
        <f t="shared" si="26"/>
        <v>8902250</v>
      </c>
      <c r="G157" s="645">
        <f t="shared" si="26"/>
        <v>0</v>
      </c>
      <c r="H157" s="645">
        <f t="shared" si="26"/>
        <v>0</v>
      </c>
      <c r="I157" s="646">
        <f t="shared" si="26"/>
        <v>8902250</v>
      </c>
      <c r="J157" s="927"/>
    </row>
    <row r="158" spans="1:10" ht="12.75">
      <c r="A158" s="630" t="s">
        <v>91</v>
      </c>
      <c r="B158" s="652">
        <f>C158+E158+H158</f>
        <v>0</v>
      </c>
      <c r="C158" s="639"/>
      <c r="D158" s="639"/>
      <c r="E158" s="639"/>
      <c r="F158" s="639"/>
      <c r="G158" s="639"/>
      <c r="H158" s="639"/>
      <c r="I158" s="641">
        <f>C158+F158</f>
        <v>0</v>
      </c>
      <c r="J158" s="927"/>
    </row>
    <row r="159" spans="1:10" ht="12.75">
      <c r="A159" s="631" t="s">
        <v>92</v>
      </c>
      <c r="B159" s="654">
        <f>C159+E159+H159</f>
        <v>3048000</v>
      </c>
      <c r="C159" s="643"/>
      <c r="D159" s="643"/>
      <c r="E159" s="643"/>
      <c r="F159" s="643"/>
      <c r="G159" s="643">
        <v>3048000</v>
      </c>
      <c r="H159" s="643">
        <v>3048000</v>
      </c>
      <c r="I159" s="644">
        <f>C159+F159</f>
        <v>0</v>
      </c>
      <c r="J159" s="927"/>
    </row>
    <row r="160" spans="1:10" ht="12.75">
      <c r="A160" s="631" t="s">
        <v>93</v>
      </c>
      <c r="B160" s="654">
        <f>C160+E160+H160</f>
        <v>0</v>
      </c>
      <c r="C160" s="643"/>
      <c r="D160" s="643"/>
      <c r="E160" s="643"/>
      <c r="F160" s="643"/>
      <c r="G160" s="643"/>
      <c r="H160" s="643"/>
      <c r="I160" s="644">
        <f>C160+F160</f>
        <v>0</v>
      </c>
      <c r="J160" s="927"/>
    </row>
    <row r="161" spans="1:10" ht="12.75">
      <c r="A161" s="631" t="s">
        <v>94</v>
      </c>
      <c r="B161" s="654">
        <f>C161+E161+H161</f>
        <v>5854250</v>
      </c>
      <c r="C161" s="643"/>
      <c r="D161" s="643"/>
      <c r="E161" s="643">
        <v>1302150</v>
      </c>
      <c r="F161" s="643">
        <v>1302150</v>
      </c>
      <c r="G161" s="643">
        <v>4552100</v>
      </c>
      <c r="H161" s="643">
        <v>4552100</v>
      </c>
      <c r="I161" s="644">
        <f>C161+F161</f>
        <v>1302150</v>
      </c>
      <c r="J161" s="927"/>
    </row>
    <row r="162" spans="1:10" ht="13.5" thickBot="1">
      <c r="A162" s="632"/>
      <c r="B162" s="656">
        <f>C162+E162+H162</f>
        <v>0</v>
      </c>
      <c r="C162" s="647"/>
      <c r="D162" s="647"/>
      <c r="E162" s="643"/>
      <c r="F162" s="647"/>
      <c r="G162" s="647"/>
      <c r="H162" s="643"/>
      <c r="I162" s="648">
        <f>C162+F162</f>
        <v>0</v>
      </c>
      <c r="J162" s="927"/>
    </row>
    <row r="163" spans="1:10" ht="13.5" thickBot="1">
      <c r="A163" s="633" t="s">
        <v>74</v>
      </c>
      <c r="B163" s="655">
        <f aca="true" t="shared" si="27" ref="B163:I163">SUM(B158:B162)</f>
        <v>8902250</v>
      </c>
      <c r="C163" s="645">
        <f t="shared" si="27"/>
        <v>0</v>
      </c>
      <c r="D163" s="645">
        <f t="shared" si="27"/>
        <v>0</v>
      </c>
      <c r="E163" s="645">
        <f t="shared" si="27"/>
        <v>1302150</v>
      </c>
      <c r="F163" s="645">
        <f t="shared" si="27"/>
        <v>1302150</v>
      </c>
      <c r="G163" s="645">
        <f t="shared" si="27"/>
        <v>7600100</v>
      </c>
      <c r="H163" s="645">
        <f t="shared" si="27"/>
        <v>7600100</v>
      </c>
      <c r="I163" s="646">
        <f t="shared" si="27"/>
        <v>1302150</v>
      </c>
      <c r="J163" s="927"/>
    </row>
    <row r="164" ht="12.75">
      <c r="J164" s="927"/>
    </row>
    <row r="165" ht="12.75">
      <c r="J165" s="927"/>
    </row>
    <row r="166" spans="1:10" ht="14.25">
      <c r="A166" s="948" t="s">
        <v>747</v>
      </c>
      <c r="B166" s="948"/>
      <c r="C166" s="949" t="s">
        <v>1416</v>
      </c>
      <c r="D166" s="949"/>
      <c r="E166" s="949"/>
      <c r="F166" s="949"/>
      <c r="G166" s="949"/>
      <c r="H166" s="949"/>
      <c r="I166" s="949"/>
      <c r="J166" s="927"/>
    </row>
    <row r="167" spans="1:10" ht="15.75" thickBot="1">
      <c r="A167" s="618"/>
      <c r="B167" s="618"/>
      <c r="C167" s="618"/>
      <c r="D167" s="618"/>
      <c r="E167" s="618"/>
      <c r="F167" s="618"/>
      <c r="G167" s="618"/>
      <c r="H167" s="928" t="s">
        <v>733</v>
      </c>
      <c r="I167" s="928"/>
      <c r="J167" s="927"/>
    </row>
    <row r="168" spans="1:10" ht="13.5" customHeight="1" thickBot="1">
      <c r="A168" s="929" t="s">
        <v>83</v>
      </c>
      <c r="B168" s="932" t="s">
        <v>440</v>
      </c>
      <c r="C168" s="933"/>
      <c r="D168" s="933"/>
      <c r="E168" s="933"/>
      <c r="F168" s="934"/>
      <c r="G168" s="934"/>
      <c r="H168" s="934"/>
      <c r="I168" s="935"/>
      <c r="J168" s="927"/>
    </row>
    <row r="169" spans="1:10" ht="13.5" customHeight="1" thickBot="1">
      <c r="A169" s="930"/>
      <c r="B169" s="936" t="str">
        <f>B147</f>
        <v>Módosítás utáni összes forrás, kiadás</v>
      </c>
      <c r="C169" s="939" t="s">
        <v>745</v>
      </c>
      <c r="D169" s="940"/>
      <c r="E169" s="940"/>
      <c r="F169" s="940"/>
      <c r="G169" s="940"/>
      <c r="H169" s="940"/>
      <c r="I169" s="941"/>
      <c r="J169" s="927"/>
    </row>
    <row r="170" spans="1:10" ht="48.75" thickBot="1">
      <c r="A170" s="930"/>
      <c r="B170" s="937"/>
      <c r="C170" s="942" t="str">
        <f>CONCATENATE(Z_TARTALOMJEGYZÉK!$A$1,".  előtti forrás, kiadás")</f>
        <v>2019.  előtti forrás, kiadás</v>
      </c>
      <c r="D170" s="619" t="s">
        <v>442</v>
      </c>
      <c r="E170" s="619" t="s">
        <v>443</v>
      </c>
      <c r="F170" s="620" t="str">
        <f>CONCATENATE("Összes teljesítés ",Z_TARTALOMJEGYZÉK!$A$1,". XII.31 -ig")</f>
        <v>Összes teljesítés 2019. XII.31 -ig</v>
      </c>
      <c r="G170" s="620" t="s">
        <v>442</v>
      </c>
      <c r="H170" s="620" t="s">
        <v>443</v>
      </c>
      <c r="I170" s="620" t="str">
        <f>CONCATENATE("Összes teljesítés ",Z_TARTALOMJEGYZÉK!$A$1,". XII.31 -ig")</f>
        <v>Összes teljesítés 2019. XII.31 -ig</v>
      </c>
      <c r="J170" s="927"/>
    </row>
    <row r="171" spans="1:10" ht="13.5" thickBot="1">
      <c r="A171" s="931"/>
      <c r="B171" s="938"/>
      <c r="C171" s="943"/>
      <c r="D171" s="944" t="str">
        <f>CONCATENATE(Z_TARTALOMJEGYZÉK!$A$1,". évi")</f>
        <v>2019. évi</v>
      </c>
      <c r="E171" s="945"/>
      <c r="F171" s="946"/>
      <c r="G171" s="944" t="str">
        <f>CONCATENATE(Z_TARTALOMJEGYZÉK!$A$1,". után")</f>
        <v>2019. után</v>
      </c>
      <c r="H171" s="947"/>
      <c r="I171" s="946"/>
      <c r="J171" s="927"/>
    </row>
    <row r="172" spans="1:10" ht="13.5" thickBot="1">
      <c r="A172" s="621" t="s">
        <v>382</v>
      </c>
      <c r="B172" s="622" t="s">
        <v>750</v>
      </c>
      <c r="C172" s="623" t="s">
        <v>384</v>
      </c>
      <c r="D172" s="624" t="s">
        <v>386</v>
      </c>
      <c r="E172" s="624" t="s">
        <v>385</v>
      </c>
      <c r="F172" s="623" t="s">
        <v>387</v>
      </c>
      <c r="G172" s="623" t="s">
        <v>388</v>
      </c>
      <c r="H172" s="623" t="s">
        <v>389</v>
      </c>
      <c r="I172" s="625" t="s">
        <v>749</v>
      </c>
      <c r="J172" s="927"/>
    </row>
    <row r="173" spans="1:10" ht="12.75">
      <c r="A173" s="626" t="s">
        <v>84</v>
      </c>
      <c r="B173" s="652">
        <f aca="true" t="shared" si="28" ref="B173:B178">C173+E173+H173</f>
        <v>0</v>
      </c>
      <c r="C173" s="638"/>
      <c r="D173" s="639"/>
      <c r="E173" s="639"/>
      <c r="F173" s="649"/>
      <c r="G173" s="639"/>
      <c r="H173" s="640"/>
      <c r="I173" s="641">
        <f aca="true" t="shared" si="29" ref="I173:I178">C173+F173</f>
        <v>0</v>
      </c>
      <c r="J173" s="927"/>
    </row>
    <row r="174" spans="1:10" ht="12.75">
      <c r="A174" s="627" t="s">
        <v>95</v>
      </c>
      <c r="B174" s="653">
        <f t="shared" si="28"/>
        <v>0</v>
      </c>
      <c r="C174" s="642"/>
      <c r="D174" s="642"/>
      <c r="E174" s="643"/>
      <c r="F174" s="650"/>
      <c r="G174" s="642"/>
      <c r="H174" s="643"/>
      <c r="I174" s="644">
        <f t="shared" si="29"/>
        <v>0</v>
      </c>
      <c r="J174" s="927"/>
    </row>
    <row r="175" spans="1:10" ht="12.75">
      <c r="A175" s="628" t="s">
        <v>85</v>
      </c>
      <c r="B175" s="654">
        <f t="shared" si="28"/>
        <v>21495379</v>
      </c>
      <c r="C175" s="643">
        <v>10747689</v>
      </c>
      <c r="D175" s="643"/>
      <c r="E175" s="643"/>
      <c r="F175" s="651"/>
      <c r="G175" s="643">
        <v>10747690</v>
      </c>
      <c r="H175" s="643">
        <v>10747690</v>
      </c>
      <c r="I175" s="644">
        <f t="shared" si="29"/>
        <v>10747689</v>
      </c>
      <c r="J175" s="927"/>
    </row>
    <row r="176" spans="1:10" ht="12.75">
      <c r="A176" s="628" t="s">
        <v>96</v>
      </c>
      <c r="B176" s="654">
        <f t="shared" si="28"/>
        <v>0</v>
      </c>
      <c r="C176" s="643"/>
      <c r="D176" s="643"/>
      <c r="E176" s="643"/>
      <c r="F176" s="651"/>
      <c r="G176" s="643"/>
      <c r="H176" s="643"/>
      <c r="I176" s="644">
        <f t="shared" si="29"/>
        <v>0</v>
      </c>
      <c r="J176" s="927"/>
    </row>
    <row r="177" spans="1:10" ht="12.75">
      <c r="A177" s="628" t="s">
        <v>86</v>
      </c>
      <c r="B177" s="654">
        <f t="shared" si="28"/>
        <v>0</v>
      </c>
      <c r="C177" s="643"/>
      <c r="D177" s="643"/>
      <c r="E177" s="643"/>
      <c r="F177" s="651"/>
      <c r="G177" s="643"/>
      <c r="H177" s="643"/>
      <c r="I177" s="644">
        <f t="shared" si="29"/>
        <v>0</v>
      </c>
      <c r="J177" s="927"/>
    </row>
    <row r="178" spans="1:10" ht="13.5" thickBot="1">
      <c r="A178" s="628" t="s">
        <v>87</v>
      </c>
      <c r="B178" s="654">
        <f t="shared" si="28"/>
        <v>0</v>
      </c>
      <c r="C178" s="643"/>
      <c r="D178" s="643"/>
      <c r="E178" s="643"/>
      <c r="F178" s="651"/>
      <c r="G178" s="643"/>
      <c r="H178" s="643"/>
      <c r="I178" s="644">
        <f t="shared" si="29"/>
        <v>0</v>
      </c>
      <c r="J178" s="927"/>
    </row>
    <row r="179" spans="1:10" ht="13.5" thickBot="1">
      <c r="A179" s="629" t="s">
        <v>88</v>
      </c>
      <c r="B179" s="655">
        <f aca="true" t="shared" si="30" ref="B179:I179">B173+SUM(B175:B178)</f>
        <v>21495379</v>
      </c>
      <c r="C179" s="645">
        <f t="shared" si="30"/>
        <v>10747689</v>
      </c>
      <c r="D179" s="645">
        <f t="shared" si="30"/>
        <v>0</v>
      </c>
      <c r="E179" s="645">
        <f t="shared" si="30"/>
        <v>0</v>
      </c>
      <c r="F179" s="645">
        <f t="shared" si="30"/>
        <v>0</v>
      </c>
      <c r="G179" s="645">
        <f t="shared" si="30"/>
        <v>10747690</v>
      </c>
      <c r="H179" s="645">
        <f t="shared" si="30"/>
        <v>10747690</v>
      </c>
      <c r="I179" s="646">
        <f t="shared" si="30"/>
        <v>10747689</v>
      </c>
      <c r="J179" s="927"/>
    </row>
    <row r="180" spans="1:10" ht="12.75">
      <c r="A180" s="630" t="s">
        <v>91</v>
      </c>
      <c r="B180" s="652">
        <f>C180+E180+H180</f>
        <v>6140162</v>
      </c>
      <c r="C180" s="639"/>
      <c r="D180" s="639"/>
      <c r="E180" s="639">
        <v>2487067</v>
      </c>
      <c r="F180" s="639">
        <v>2487067</v>
      </c>
      <c r="G180" s="639"/>
      <c r="H180" s="639">
        <v>3653095</v>
      </c>
      <c r="I180" s="641">
        <f>C180+F180</f>
        <v>2487067</v>
      </c>
      <c r="J180" s="927"/>
    </row>
    <row r="181" spans="1:10" ht="12.75">
      <c r="A181" s="631" t="s">
        <v>92</v>
      </c>
      <c r="B181" s="654">
        <f>C181+E181+H181</f>
        <v>2149538</v>
      </c>
      <c r="C181" s="643"/>
      <c r="D181" s="643"/>
      <c r="E181" s="643">
        <v>1878246</v>
      </c>
      <c r="F181" s="643">
        <v>1878246</v>
      </c>
      <c r="G181" s="643"/>
      <c r="H181" s="643">
        <v>271292</v>
      </c>
      <c r="I181" s="644">
        <f>C181+F181</f>
        <v>1878246</v>
      </c>
      <c r="J181" s="927"/>
    </row>
    <row r="182" spans="1:10" ht="12.75">
      <c r="A182" s="631" t="s">
        <v>93</v>
      </c>
      <c r="B182" s="654">
        <v>13205679</v>
      </c>
      <c r="C182" s="643"/>
      <c r="D182" s="643"/>
      <c r="E182" s="643">
        <v>10614927</v>
      </c>
      <c r="F182" s="643">
        <v>8127860</v>
      </c>
      <c r="G182" s="643"/>
      <c r="H182" s="643">
        <v>5077819</v>
      </c>
      <c r="I182" s="644">
        <f>C182+F182</f>
        <v>8127860</v>
      </c>
      <c r="J182" s="927"/>
    </row>
    <row r="183" spans="1:10" ht="12.75">
      <c r="A183" s="631" t="s">
        <v>94</v>
      </c>
      <c r="B183" s="654">
        <f>C183+E183+H183</f>
        <v>0</v>
      </c>
      <c r="C183" s="643"/>
      <c r="D183" s="643"/>
      <c r="E183" s="643"/>
      <c r="F183" s="643"/>
      <c r="G183" s="643"/>
      <c r="H183" s="643"/>
      <c r="I183" s="644">
        <f>C183+F183</f>
        <v>0</v>
      </c>
      <c r="J183" s="927"/>
    </row>
    <row r="184" spans="1:10" ht="13.5" thickBot="1">
      <c r="A184" s="632"/>
      <c r="B184" s="656">
        <f>C184+E184+H184</f>
        <v>0</v>
      </c>
      <c r="C184" s="647"/>
      <c r="D184" s="647"/>
      <c r="E184" s="643"/>
      <c r="F184" s="647"/>
      <c r="G184" s="647"/>
      <c r="H184" s="643"/>
      <c r="I184" s="648">
        <f>C184+F184</f>
        <v>0</v>
      </c>
      <c r="J184" s="927"/>
    </row>
    <row r="185" spans="1:10" ht="13.5" thickBot="1">
      <c r="A185" s="633" t="s">
        <v>74</v>
      </c>
      <c r="B185" s="655">
        <f aca="true" t="shared" si="31" ref="B185:I185">SUM(B180:B184)</f>
        <v>21495379</v>
      </c>
      <c r="C185" s="645">
        <f t="shared" si="31"/>
        <v>0</v>
      </c>
      <c r="D185" s="645">
        <f t="shared" si="31"/>
        <v>0</v>
      </c>
      <c r="E185" s="645">
        <f t="shared" si="31"/>
        <v>14980240</v>
      </c>
      <c r="F185" s="645">
        <f t="shared" si="31"/>
        <v>12493173</v>
      </c>
      <c r="G185" s="645">
        <f t="shared" si="31"/>
        <v>0</v>
      </c>
      <c r="H185" s="645">
        <f t="shared" si="31"/>
        <v>9002206</v>
      </c>
      <c r="I185" s="646">
        <f t="shared" si="31"/>
        <v>12493173</v>
      </c>
      <c r="J185" s="927"/>
    </row>
    <row r="186" ht="12.75">
      <c r="J186" s="927"/>
    </row>
    <row r="187" ht="12.75">
      <c r="J187" s="927"/>
    </row>
    <row r="188" spans="1:10" ht="14.25">
      <c r="A188" s="948" t="s">
        <v>747</v>
      </c>
      <c r="B188" s="948"/>
      <c r="C188" s="949"/>
      <c r="D188" s="949"/>
      <c r="E188" s="949"/>
      <c r="F188" s="949"/>
      <c r="G188" s="949"/>
      <c r="H188" s="949"/>
      <c r="I188" s="949"/>
      <c r="J188" s="927"/>
    </row>
    <row r="189" spans="1:10" ht="15.75" thickBot="1">
      <c r="A189" s="618"/>
      <c r="B189" s="618"/>
      <c r="C189" s="618"/>
      <c r="D189" s="618"/>
      <c r="E189" s="618"/>
      <c r="F189" s="618"/>
      <c r="G189" s="618"/>
      <c r="H189" s="928" t="s">
        <v>733</v>
      </c>
      <c r="I189" s="928"/>
      <c r="J189" s="927"/>
    </row>
    <row r="190" spans="1:10" ht="13.5" customHeight="1" thickBot="1">
      <c r="A190" s="929" t="s">
        <v>83</v>
      </c>
      <c r="B190" s="932" t="s">
        <v>440</v>
      </c>
      <c r="C190" s="933"/>
      <c r="D190" s="933"/>
      <c r="E190" s="933"/>
      <c r="F190" s="934"/>
      <c r="G190" s="934"/>
      <c r="H190" s="934"/>
      <c r="I190" s="935"/>
      <c r="J190" s="927"/>
    </row>
    <row r="191" spans="1:10" ht="13.5" customHeight="1" thickBot="1">
      <c r="A191" s="930"/>
      <c r="B191" s="936" t="str">
        <f>B169</f>
        <v>Módosítás utáni összes forrás, kiadás</v>
      </c>
      <c r="C191" s="939" t="s">
        <v>745</v>
      </c>
      <c r="D191" s="940"/>
      <c r="E191" s="940"/>
      <c r="F191" s="940"/>
      <c r="G191" s="940"/>
      <c r="H191" s="940"/>
      <c r="I191" s="941"/>
      <c r="J191" s="927"/>
    </row>
    <row r="192" spans="1:10" ht="48.75" thickBot="1">
      <c r="A192" s="930"/>
      <c r="B192" s="937"/>
      <c r="C192" s="942" t="str">
        <f>CONCATENATE(Z_TARTALOMJEGYZÉK!$A$1,".  előtti forrás, kiadás")</f>
        <v>2019.  előtti forrás, kiadás</v>
      </c>
      <c r="D192" s="619" t="s">
        <v>442</v>
      </c>
      <c r="E192" s="619" t="s">
        <v>443</v>
      </c>
      <c r="F192" s="620" t="str">
        <f>CONCATENATE("Összes teljesítés ",Z_TARTALOMJEGYZÉK!$A$1,". XII.31 -ig")</f>
        <v>Összes teljesítés 2019. XII.31 -ig</v>
      </c>
      <c r="G192" s="620" t="s">
        <v>442</v>
      </c>
      <c r="H192" s="620" t="s">
        <v>443</v>
      </c>
      <c r="I192" s="620" t="str">
        <f>CONCATENATE("Összes teljesítés ",Z_TARTALOMJEGYZÉK!$A$1,". XII.31 -ig")</f>
        <v>Összes teljesítés 2019. XII.31 -ig</v>
      </c>
      <c r="J192" s="927"/>
    </row>
    <row r="193" spans="1:10" ht="13.5" thickBot="1">
      <c r="A193" s="931"/>
      <c r="B193" s="938"/>
      <c r="C193" s="943"/>
      <c r="D193" s="944" t="str">
        <f>CONCATENATE(Z_TARTALOMJEGYZÉK!$A$1,". évi")</f>
        <v>2019. évi</v>
      </c>
      <c r="E193" s="945"/>
      <c r="F193" s="946"/>
      <c r="G193" s="944" t="str">
        <f>CONCATENATE(Z_TARTALOMJEGYZÉK!$A$1,". után")</f>
        <v>2019. után</v>
      </c>
      <c r="H193" s="947"/>
      <c r="I193" s="946"/>
      <c r="J193" s="927"/>
    </row>
    <row r="194" spans="1:10" ht="13.5" thickBot="1">
      <c r="A194" s="621" t="s">
        <v>382</v>
      </c>
      <c r="B194" s="622" t="s">
        <v>750</v>
      </c>
      <c r="C194" s="623" t="s">
        <v>384</v>
      </c>
      <c r="D194" s="624" t="s">
        <v>386</v>
      </c>
      <c r="E194" s="624" t="s">
        <v>385</v>
      </c>
      <c r="F194" s="623" t="s">
        <v>387</v>
      </c>
      <c r="G194" s="623" t="s">
        <v>388</v>
      </c>
      <c r="H194" s="623" t="s">
        <v>389</v>
      </c>
      <c r="I194" s="625" t="s">
        <v>749</v>
      </c>
      <c r="J194" s="927"/>
    </row>
    <row r="195" spans="1:10" ht="12.75">
      <c r="A195" s="626" t="s">
        <v>84</v>
      </c>
      <c r="B195" s="652">
        <f aca="true" t="shared" si="32" ref="B195:B200">C195+E195+H195</f>
        <v>0</v>
      </c>
      <c r="C195" s="638"/>
      <c r="D195" s="639"/>
      <c r="E195" s="639"/>
      <c r="F195" s="649"/>
      <c r="G195" s="639"/>
      <c r="H195" s="640"/>
      <c r="I195" s="641">
        <f aca="true" t="shared" si="33" ref="I195:I200">C195+F195</f>
        <v>0</v>
      </c>
      <c r="J195" s="927"/>
    </row>
    <row r="196" spans="1:10" ht="12.75">
      <c r="A196" s="627" t="s">
        <v>95</v>
      </c>
      <c r="B196" s="653">
        <f t="shared" si="32"/>
        <v>0</v>
      </c>
      <c r="C196" s="642"/>
      <c r="D196" s="642"/>
      <c r="E196" s="643"/>
      <c r="F196" s="650"/>
      <c r="G196" s="642"/>
      <c r="H196" s="643"/>
      <c r="I196" s="644">
        <f t="shared" si="33"/>
        <v>0</v>
      </c>
      <c r="J196" s="927"/>
    </row>
    <row r="197" spans="1:10" ht="12.75">
      <c r="A197" s="628" t="s">
        <v>85</v>
      </c>
      <c r="B197" s="654">
        <f t="shared" si="32"/>
        <v>0</v>
      </c>
      <c r="C197" s="643"/>
      <c r="D197" s="643"/>
      <c r="E197" s="643"/>
      <c r="F197" s="651"/>
      <c r="G197" s="643"/>
      <c r="H197" s="643"/>
      <c r="I197" s="644">
        <f t="shared" si="33"/>
        <v>0</v>
      </c>
      <c r="J197" s="927"/>
    </row>
    <row r="198" spans="1:10" ht="12.75">
      <c r="A198" s="628" t="s">
        <v>96</v>
      </c>
      <c r="B198" s="654">
        <f t="shared" si="32"/>
        <v>0</v>
      </c>
      <c r="C198" s="643"/>
      <c r="D198" s="643"/>
      <c r="E198" s="643"/>
      <c r="F198" s="651"/>
      <c r="G198" s="643"/>
      <c r="H198" s="643"/>
      <c r="I198" s="644">
        <f t="shared" si="33"/>
        <v>0</v>
      </c>
      <c r="J198" s="927"/>
    </row>
    <row r="199" spans="1:10" ht="12.75">
      <c r="A199" s="628" t="s">
        <v>86</v>
      </c>
      <c r="B199" s="654">
        <f t="shared" si="32"/>
        <v>0</v>
      </c>
      <c r="C199" s="643"/>
      <c r="D199" s="643"/>
      <c r="E199" s="643"/>
      <c r="F199" s="651"/>
      <c r="G199" s="643"/>
      <c r="H199" s="643"/>
      <c r="I199" s="644">
        <f t="shared" si="33"/>
        <v>0</v>
      </c>
      <c r="J199" s="927"/>
    </row>
    <row r="200" spans="1:10" ht="13.5" thickBot="1">
      <c r="A200" s="628" t="s">
        <v>87</v>
      </c>
      <c r="B200" s="654">
        <f t="shared" si="32"/>
        <v>0</v>
      </c>
      <c r="C200" s="643"/>
      <c r="D200" s="643"/>
      <c r="E200" s="643"/>
      <c r="F200" s="651"/>
      <c r="G200" s="643"/>
      <c r="H200" s="643"/>
      <c r="I200" s="644">
        <f t="shared" si="33"/>
        <v>0</v>
      </c>
      <c r="J200" s="927"/>
    </row>
    <row r="201" spans="1:10" ht="13.5" thickBot="1">
      <c r="A201" s="629" t="s">
        <v>88</v>
      </c>
      <c r="B201" s="655">
        <f aca="true" t="shared" si="34" ref="B201:I201">B195+SUM(B197:B200)</f>
        <v>0</v>
      </c>
      <c r="C201" s="645">
        <f t="shared" si="34"/>
        <v>0</v>
      </c>
      <c r="D201" s="645">
        <f t="shared" si="34"/>
        <v>0</v>
      </c>
      <c r="E201" s="645">
        <f t="shared" si="34"/>
        <v>0</v>
      </c>
      <c r="F201" s="645">
        <f t="shared" si="34"/>
        <v>0</v>
      </c>
      <c r="G201" s="645">
        <f t="shared" si="34"/>
        <v>0</v>
      </c>
      <c r="H201" s="645">
        <f t="shared" si="34"/>
        <v>0</v>
      </c>
      <c r="I201" s="646">
        <f t="shared" si="34"/>
        <v>0</v>
      </c>
      <c r="J201" s="927"/>
    </row>
    <row r="202" spans="1:10" ht="12.75">
      <c r="A202" s="630" t="s">
        <v>91</v>
      </c>
      <c r="B202" s="652">
        <f>C202+E202+H202</f>
        <v>0</v>
      </c>
      <c r="C202" s="639"/>
      <c r="D202" s="639"/>
      <c r="E202" s="639"/>
      <c r="F202" s="639"/>
      <c r="G202" s="639"/>
      <c r="H202" s="639"/>
      <c r="I202" s="641">
        <f>C202+F202</f>
        <v>0</v>
      </c>
      <c r="J202" s="927"/>
    </row>
    <row r="203" spans="1:10" ht="12.75">
      <c r="A203" s="631" t="s">
        <v>92</v>
      </c>
      <c r="B203" s="654">
        <f>C203+E203+H203</f>
        <v>0</v>
      </c>
      <c r="C203" s="643"/>
      <c r="D203" s="643"/>
      <c r="E203" s="643"/>
      <c r="F203" s="643"/>
      <c r="G203" s="643"/>
      <c r="H203" s="643"/>
      <c r="I203" s="644">
        <f>C203+F203</f>
        <v>0</v>
      </c>
      <c r="J203" s="927"/>
    </row>
    <row r="204" spans="1:10" ht="12.75">
      <c r="A204" s="631" t="s">
        <v>93</v>
      </c>
      <c r="B204" s="654">
        <f>C204+E204+H204</f>
        <v>0</v>
      </c>
      <c r="C204" s="643"/>
      <c r="D204" s="643"/>
      <c r="E204" s="643"/>
      <c r="F204" s="643"/>
      <c r="G204" s="643"/>
      <c r="H204" s="643"/>
      <c r="I204" s="644">
        <f>C204+F204</f>
        <v>0</v>
      </c>
      <c r="J204" s="927"/>
    </row>
    <row r="205" spans="1:10" ht="12.75">
      <c r="A205" s="631" t="s">
        <v>94</v>
      </c>
      <c r="B205" s="654">
        <f>C205+E205+H205</f>
        <v>0</v>
      </c>
      <c r="C205" s="643"/>
      <c r="D205" s="643"/>
      <c r="E205" s="643"/>
      <c r="F205" s="643"/>
      <c r="G205" s="643"/>
      <c r="H205" s="643"/>
      <c r="I205" s="644">
        <f>C205+F205</f>
        <v>0</v>
      </c>
      <c r="J205" s="927"/>
    </row>
    <row r="206" spans="1:10" ht="13.5" thickBot="1">
      <c r="A206" s="632"/>
      <c r="B206" s="656">
        <f>C206+E206+H206</f>
        <v>0</v>
      </c>
      <c r="C206" s="647"/>
      <c r="D206" s="647"/>
      <c r="E206" s="643"/>
      <c r="F206" s="647"/>
      <c r="G206" s="647"/>
      <c r="H206" s="643"/>
      <c r="I206" s="648">
        <f>C206+F206</f>
        <v>0</v>
      </c>
      <c r="J206" s="927"/>
    </row>
    <row r="207" spans="1:10" ht="13.5" thickBot="1">
      <c r="A207" s="633" t="s">
        <v>74</v>
      </c>
      <c r="B207" s="655">
        <f aca="true" t="shared" si="35" ref="B207:I207">SUM(B202:B206)</f>
        <v>0</v>
      </c>
      <c r="C207" s="645">
        <f t="shared" si="35"/>
        <v>0</v>
      </c>
      <c r="D207" s="645">
        <f t="shared" si="35"/>
        <v>0</v>
      </c>
      <c r="E207" s="645">
        <f t="shared" si="35"/>
        <v>0</v>
      </c>
      <c r="F207" s="645">
        <f t="shared" si="35"/>
        <v>0</v>
      </c>
      <c r="G207" s="645">
        <f t="shared" si="35"/>
        <v>0</v>
      </c>
      <c r="H207" s="645">
        <f t="shared" si="35"/>
        <v>0</v>
      </c>
      <c r="I207" s="646">
        <f t="shared" si="35"/>
        <v>0</v>
      </c>
      <c r="J207" s="927"/>
    </row>
    <row r="208" ht="12.75">
      <c r="J208" s="927"/>
    </row>
    <row r="209" ht="12.75">
      <c r="J209" s="927"/>
    </row>
    <row r="210" spans="1:10" ht="14.25">
      <c r="A210" s="948" t="s">
        <v>747</v>
      </c>
      <c r="B210" s="948"/>
      <c r="C210" s="949"/>
      <c r="D210" s="949"/>
      <c r="E210" s="949"/>
      <c r="F210" s="949"/>
      <c r="G210" s="949"/>
      <c r="H210" s="949"/>
      <c r="I210" s="949"/>
      <c r="J210" s="927"/>
    </row>
    <row r="211" spans="1:10" ht="15.75" thickBot="1">
      <c r="A211" s="618"/>
      <c r="B211" s="618"/>
      <c r="C211" s="618"/>
      <c r="D211" s="618"/>
      <c r="E211" s="618"/>
      <c r="F211" s="618"/>
      <c r="G211" s="618"/>
      <c r="H211" s="928" t="s">
        <v>733</v>
      </c>
      <c r="I211" s="928"/>
      <c r="J211" s="927"/>
    </row>
    <row r="212" spans="1:10" ht="13.5" customHeight="1" thickBot="1">
      <c r="A212" s="929" t="s">
        <v>83</v>
      </c>
      <c r="B212" s="932" t="s">
        <v>440</v>
      </c>
      <c r="C212" s="933"/>
      <c r="D212" s="933"/>
      <c r="E212" s="933"/>
      <c r="F212" s="934"/>
      <c r="G212" s="934"/>
      <c r="H212" s="934"/>
      <c r="I212" s="935"/>
      <c r="J212" s="927"/>
    </row>
    <row r="213" spans="1:10" ht="13.5" customHeight="1" thickBot="1">
      <c r="A213" s="930"/>
      <c r="B213" s="936" t="str">
        <f>B191</f>
        <v>Módosítás utáni összes forrás, kiadás</v>
      </c>
      <c r="C213" s="939" t="s">
        <v>745</v>
      </c>
      <c r="D213" s="940"/>
      <c r="E213" s="940"/>
      <c r="F213" s="940"/>
      <c r="G213" s="940"/>
      <c r="H213" s="940"/>
      <c r="I213" s="941"/>
      <c r="J213" s="927"/>
    </row>
    <row r="214" spans="1:10" ht="48.75" thickBot="1">
      <c r="A214" s="930"/>
      <c r="B214" s="937"/>
      <c r="C214" s="942" t="str">
        <f>CONCATENATE(Z_TARTALOMJEGYZÉK!$A$1,".  előtti forrás, kiadás")</f>
        <v>2019.  előtti forrás, kiadás</v>
      </c>
      <c r="D214" s="619" t="s">
        <v>442</v>
      </c>
      <c r="E214" s="619" t="s">
        <v>443</v>
      </c>
      <c r="F214" s="620" t="str">
        <f>CONCATENATE("Összes teljesítés ",Z_TARTALOMJEGYZÉK!$A$1,". XII.31 -ig")</f>
        <v>Összes teljesítés 2019. XII.31 -ig</v>
      </c>
      <c r="G214" s="620" t="s">
        <v>442</v>
      </c>
      <c r="H214" s="620" t="s">
        <v>443</v>
      </c>
      <c r="I214" s="620" t="str">
        <f>CONCATENATE("Összes teljesítés ",Z_TARTALOMJEGYZÉK!$A$1,". XII.31 -ig")</f>
        <v>Összes teljesítés 2019. XII.31 -ig</v>
      </c>
      <c r="J214" s="927"/>
    </row>
    <row r="215" spans="1:10" ht="13.5" thickBot="1">
      <c r="A215" s="931"/>
      <c r="B215" s="938"/>
      <c r="C215" s="943"/>
      <c r="D215" s="944" t="str">
        <f>CONCATENATE(Z_TARTALOMJEGYZÉK!$A$1,". évi")</f>
        <v>2019. évi</v>
      </c>
      <c r="E215" s="945"/>
      <c r="F215" s="946"/>
      <c r="G215" s="944" t="str">
        <f>CONCATENATE(Z_TARTALOMJEGYZÉK!$A$1,". után")</f>
        <v>2019. után</v>
      </c>
      <c r="H215" s="947"/>
      <c r="I215" s="946"/>
      <c r="J215" s="927"/>
    </row>
    <row r="216" spans="1:10" ht="13.5" thickBot="1">
      <c r="A216" s="621" t="s">
        <v>382</v>
      </c>
      <c r="B216" s="622" t="s">
        <v>750</v>
      </c>
      <c r="C216" s="623" t="s">
        <v>384</v>
      </c>
      <c r="D216" s="624" t="s">
        <v>386</v>
      </c>
      <c r="E216" s="624" t="s">
        <v>385</v>
      </c>
      <c r="F216" s="623" t="s">
        <v>387</v>
      </c>
      <c r="G216" s="623" t="s">
        <v>388</v>
      </c>
      <c r="H216" s="623" t="s">
        <v>389</v>
      </c>
      <c r="I216" s="625" t="s">
        <v>749</v>
      </c>
      <c r="J216" s="927"/>
    </row>
    <row r="217" spans="1:10" ht="12.75">
      <c r="A217" s="626" t="s">
        <v>84</v>
      </c>
      <c r="B217" s="652">
        <f aca="true" t="shared" si="36" ref="B217:B222">C217+E217+H217</f>
        <v>0</v>
      </c>
      <c r="C217" s="638"/>
      <c r="D217" s="639"/>
      <c r="E217" s="639"/>
      <c r="F217" s="649"/>
      <c r="G217" s="639"/>
      <c r="H217" s="640"/>
      <c r="I217" s="641">
        <f aca="true" t="shared" si="37" ref="I217:I222">C217+F217</f>
        <v>0</v>
      </c>
      <c r="J217" s="927"/>
    </row>
    <row r="218" spans="1:10" ht="12.75">
      <c r="A218" s="627" t="s">
        <v>95</v>
      </c>
      <c r="B218" s="653">
        <f t="shared" si="36"/>
        <v>0</v>
      </c>
      <c r="C218" s="642"/>
      <c r="D218" s="642"/>
      <c r="E218" s="643"/>
      <c r="F218" s="650"/>
      <c r="G218" s="642"/>
      <c r="H218" s="643"/>
      <c r="I218" s="644">
        <f t="shared" si="37"/>
        <v>0</v>
      </c>
      <c r="J218" s="927"/>
    </row>
    <row r="219" spans="1:10" ht="12.75">
      <c r="A219" s="628" t="s">
        <v>85</v>
      </c>
      <c r="B219" s="654">
        <f t="shared" si="36"/>
        <v>0</v>
      </c>
      <c r="C219" s="643"/>
      <c r="D219" s="643"/>
      <c r="E219" s="643"/>
      <c r="F219" s="651"/>
      <c r="G219" s="643"/>
      <c r="H219" s="643"/>
      <c r="I219" s="644">
        <f t="shared" si="37"/>
        <v>0</v>
      </c>
      <c r="J219" s="927"/>
    </row>
    <row r="220" spans="1:10" ht="12.75">
      <c r="A220" s="628" t="s">
        <v>96</v>
      </c>
      <c r="B220" s="654">
        <f t="shared" si="36"/>
        <v>0</v>
      </c>
      <c r="C220" s="643"/>
      <c r="D220" s="643"/>
      <c r="E220" s="643"/>
      <c r="F220" s="651"/>
      <c r="G220" s="643"/>
      <c r="H220" s="643"/>
      <c r="I220" s="644">
        <f t="shared" si="37"/>
        <v>0</v>
      </c>
      <c r="J220" s="927"/>
    </row>
    <row r="221" spans="1:10" ht="12.75">
      <c r="A221" s="628" t="s">
        <v>86</v>
      </c>
      <c r="B221" s="654">
        <f t="shared" si="36"/>
        <v>0</v>
      </c>
      <c r="C221" s="643"/>
      <c r="D221" s="643"/>
      <c r="E221" s="643"/>
      <c r="F221" s="651"/>
      <c r="G221" s="643"/>
      <c r="H221" s="643"/>
      <c r="I221" s="644">
        <f t="shared" si="37"/>
        <v>0</v>
      </c>
      <c r="J221" s="927"/>
    </row>
    <row r="222" spans="1:10" ht="13.5" thickBot="1">
      <c r="A222" s="628" t="s">
        <v>87</v>
      </c>
      <c r="B222" s="654">
        <f t="shared" si="36"/>
        <v>0</v>
      </c>
      <c r="C222" s="643"/>
      <c r="D222" s="643"/>
      <c r="E222" s="643"/>
      <c r="F222" s="651"/>
      <c r="G222" s="643"/>
      <c r="H222" s="643"/>
      <c r="I222" s="644">
        <f t="shared" si="37"/>
        <v>0</v>
      </c>
      <c r="J222" s="927"/>
    </row>
    <row r="223" spans="1:10" ht="13.5" thickBot="1">
      <c r="A223" s="629" t="s">
        <v>88</v>
      </c>
      <c r="B223" s="655">
        <f aca="true" t="shared" si="38" ref="B223:I223">B217+SUM(B219:B222)</f>
        <v>0</v>
      </c>
      <c r="C223" s="645">
        <f t="shared" si="38"/>
        <v>0</v>
      </c>
      <c r="D223" s="645">
        <f t="shared" si="38"/>
        <v>0</v>
      </c>
      <c r="E223" s="645">
        <f t="shared" si="38"/>
        <v>0</v>
      </c>
      <c r="F223" s="645">
        <f t="shared" si="38"/>
        <v>0</v>
      </c>
      <c r="G223" s="645">
        <f t="shared" si="38"/>
        <v>0</v>
      </c>
      <c r="H223" s="645">
        <f t="shared" si="38"/>
        <v>0</v>
      </c>
      <c r="I223" s="646">
        <f t="shared" si="38"/>
        <v>0</v>
      </c>
      <c r="J223" s="927"/>
    </row>
    <row r="224" spans="1:10" ht="12.75">
      <c r="A224" s="630" t="s">
        <v>91</v>
      </c>
      <c r="B224" s="652">
        <f>C224+E224+H224</f>
        <v>0</v>
      </c>
      <c r="C224" s="639"/>
      <c r="D224" s="639"/>
      <c r="E224" s="639"/>
      <c r="F224" s="639"/>
      <c r="G224" s="639"/>
      <c r="H224" s="639"/>
      <c r="I224" s="641">
        <f>C224+F224</f>
        <v>0</v>
      </c>
      <c r="J224" s="927"/>
    </row>
    <row r="225" spans="1:10" ht="12.75">
      <c r="A225" s="631" t="s">
        <v>92</v>
      </c>
      <c r="B225" s="654">
        <f>C225+E225+H225</f>
        <v>0</v>
      </c>
      <c r="C225" s="643"/>
      <c r="D225" s="643"/>
      <c r="E225" s="643"/>
      <c r="F225" s="643"/>
      <c r="G225" s="643"/>
      <c r="H225" s="643"/>
      <c r="I225" s="644">
        <f>C225+F225</f>
        <v>0</v>
      </c>
      <c r="J225" s="927"/>
    </row>
    <row r="226" spans="1:10" ht="12.75">
      <c r="A226" s="631" t="s">
        <v>93</v>
      </c>
      <c r="B226" s="654">
        <f>C226+E226+H226</f>
        <v>0</v>
      </c>
      <c r="C226" s="643"/>
      <c r="D226" s="643"/>
      <c r="E226" s="643"/>
      <c r="F226" s="643"/>
      <c r="G226" s="643"/>
      <c r="H226" s="643"/>
      <c r="I226" s="644">
        <f>C226+F226</f>
        <v>0</v>
      </c>
      <c r="J226" s="927"/>
    </row>
    <row r="227" spans="1:10" ht="12.75">
      <c r="A227" s="631" t="s">
        <v>94</v>
      </c>
      <c r="B227" s="654">
        <f>C227+E227+H227</f>
        <v>0</v>
      </c>
      <c r="C227" s="643"/>
      <c r="D227" s="643"/>
      <c r="E227" s="643"/>
      <c r="F227" s="643"/>
      <c r="G227" s="643"/>
      <c r="H227" s="643"/>
      <c r="I227" s="644">
        <f>C227+F227</f>
        <v>0</v>
      </c>
      <c r="J227" s="927"/>
    </row>
    <row r="228" spans="1:10" ht="13.5" thickBot="1">
      <c r="A228" s="632"/>
      <c r="B228" s="656">
        <f>C228+E228+H228</f>
        <v>0</v>
      </c>
      <c r="C228" s="647"/>
      <c r="D228" s="647"/>
      <c r="E228" s="643"/>
      <c r="F228" s="647"/>
      <c r="G228" s="647"/>
      <c r="H228" s="643"/>
      <c r="I228" s="648">
        <f>C228+F228</f>
        <v>0</v>
      </c>
      <c r="J228" s="927"/>
    </row>
    <row r="229" spans="1:10" ht="13.5" thickBot="1">
      <c r="A229" s="633" t="s">
        <v>74</v>
      </c>
      <c r="B229" s="655">
        <f aca="true" t="shared" si="39" ref="B229:I229">SUM(B224:B228)</f>
        <v>0</v>
      </c>
      <c r="C229" s="645">
        <f t="shared" si="39"/>
        <v>0</v>
      </c>
      <c r="D229" s="645">
        <f t="shared" si="39"/>
        <v>0</v>
      </c>
      <c r="E229" s="645">
        <f t="shared" si="39"/>
        <v>0</v>
      </c>
      <c r="F229" s="645">
        <f t="shared" si="39"/>
        <v>0</v>
      </c>
      <c r="G229" s="645">
        <f t="shared" si="39"/>
        <v>0</v>
      </c>
      <c r="H229" s="645">
        <f t="shared" si="39"/>
        <v>0</v>
      </c>
      <c r="I229" s="646">
        <f t="shared" si="39"/>
        <v>0</v>
      </c>
      <c r="J229" s="927"/>
    </row>
    <row r="230" ht="12.75">
      <c r="J230" s="927"/>
    </row>
    <row r="231" ht="12.75">
      <c r="J231" s="927"/>
    </row>
  </sheetData>
  <sheetProtection/>
  <mergeCells count="118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C191:I191"/>
    <mergeCell ref="C192:C193"/>
    <mergeCell ref="D193:F193"/>
    <mergeCell ref="G193:I193"/>
    <mergeCell ref="A210:B210"/>
    <mergeCell ref="C210:I210"/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9" manualBreakCount="9">
    <brk id="33" max="255" man="1"/>
    <brk id="55" max="255" man="1"/>
    <brk id="77" max="255" man="1"/>
    <brk id="99" max="255" man="1"/>
    <brk id="121" max="255" man="1"/>
    <brk id="143" max="255" man="1"/>
    <brk id="165" max="255" man="1"/>
    <brk id="187" max="255" man="1"/>
    <brk id="20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10" zoomScaleNormal="110" zoomScaleSheetLayoutView="100" workbookViewId="0" topLeftCell="A127">
      <selection activeCell="N23" sqref="N23"/>
    </sheetView>
  </sheetViews>
  <sheetFormatPr defaultColWidth="9.00390625" defaultRowHeight="12.75"/>
  <cols>
    <col min="1" max="1" width="16.125" style="159" customWidth="1"/>
    <col min="2" max="2" width="63.87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972" t="str">
        <f>CONCATENATE("6.1. melléklet ",Z_ALAPADATOK!A7," ",Z_ALAPADATOK!B7," ",Z_ALAPADATOK!C7," ",Z_ALAPADATOK!D7," ",Z_ALAPADATOK!E7," ",Z_ALAPADATOK!F7," ",Z_ALAPADATOK!G7," ",Z_ALAPADATOK!H7)</f>
        <v>6.1. melléklet a … / 2020. ( … ) önkormányzati rendelethez</v>
      </c>
      <c r="C1" s="973"/>
      <c r="D1" s="973"/>
      <c r="E1" s="973"/>
    </row>
    <row r="2" spans="1:5" s="48" customFormat="1" ht="21" customHeight="1" thickBot="1">
      <c r="A2" s="332" t="s">
        <v>44</v>
      </c>
      <c r="B2" s="971" t="str">
        <f>CONCATENATE(Z_ALAPADATOK!A3)</f>
        <v>Bátaszék Város Önkormányzata</v>
      </c>
      <c r="C2" s="971"/>
      <c r="D2" s="971"/>
      <c r="E2" s="333" t="s">
        <v>38</v>
      </c>
    </row>
    <row r="3" spans="1:5" s="48" customFormat="1" ht="24.75" thickBot="1">
      <c r="A3" s="332" t="s">
        <v>135</v>
      </c>
      <c r="B3" s="971" t="s">
        <v>302</v>
      </c>
      <c r="C3" s="971"/>
      <c r="D3" s="971"/>
      <c r="E3" s="334" t="s">
        <v>38</v>
      </c>
    </row>
    <row r="4" spans="1:5" s="49" customFormat="1" ht="15.75" customHeight="1" thickBot="1">
      <c r="A4" s="326"/>
      <c r="B4" s="326"/>
      <c r="C4" s="327"/>
      <c r="D4" s="328"/>
      <c r="E4" s="335" t="str">
        <f>'Z_4.sz.mell.'!G4</f>
        <v>e  Forintban!</v>
      </c>
    </row>
    <row r="5" spans="1:5" ht="24.75" thickBot="1">
      <c r="A5" s="329" t="s">
        <v>136</v>
      </c>
      <c r="B5" s="330" t="s">
        <v>480</v>
      </c>
      <c r="C5" s="330" t="s">
        <v>445</v>
      </c>
      <c r="D5" s="331" t="s">
        <v>446</v>
      </c>
      <c r="E5" s="314" t="str">
        <f>+CONCATENATE("Teljesítés",CHAR(10),LEFT(Z_ÖSSZEFÜGGÉSEK!A6,4),". XII. 31.")</f>
        <v>Teljesítés
2019. XII. 31.</v>
      </c>
    </row>
    <row r="6" spans="1:5" s="44" customFormat="1" ht="12.75" customHeight="1" thickBot="1">
      <c r="A6" s="74" t="s">
        <v>382</v>
      </c>
      <c r="B6" s="75" t="s">
        <v>383</v>
      </c>
      <c r="C6" s="75" t="s">
        <v>384</v>
      </c>
      <c r="D6" s="285" t="s">
        <v>386</v>
      </c>
      <c r="E6" s="76" t="s">
        <v>385</v>
      </c>
    </row>
    <row r="7" spans="1:5" s="44" customFormat="1" ht="15.75" customHeight="1" thickBot="1">
      <c r="A7" s="968" t="s">
        <v>39</v>
      </c>
      <c r="B7" s="969"/>
      <c r="C7" s="969"/>
      <c r="D7" s="969"/>
      <c r="E7" s="970"/>
    </row>
    <row r="8" spans="1:5" s="44" customFormat="1" ht="15" customHeight="1" thickBot="1">
      <c r="A8" s="25" t="s">
        <v>6</v>
      </c>
      <c r="B8" s="19" t="s">
        <v>162</v>
      </c>
      <c r="C8" s="166">
        <f>+C9+C10+C11+C12+C13+C14</f>
        <v>489562</v>
      </c>
      <c r="D8" s="252">
        <f>+D9+D10+D11+D12+D13+D14</f>
        <v>554745</v>
      </c>
      <c r="E8" s="102">
        <f>+E9+E10+E11+E12+E13+E14</f>
        <v>554745</v>
      </c>
    </row>
    <row r="9" spans="1:5" s="50" customFormat="1" ht="15" customHeight="1">
      <c r="A9" s="195" t="s">
        <v>63</v>
      </c>
      <c r="B9" s="179" t="s">
        <v>163</v>
      </c>
      <c r="C9" s="168">
        <v>133820</v>
      </c>
      <c r="D9" s="253">
        <v>138010</v>
      </c>
      <c r="E9" s="104">
        <v>138010</v>
      </c>
    </row>
    <row r="10" spans="1:5" s="51" customFormat="1" ht="15" customHeight="1">
      <c r="A10" s="196" t="s">
        <v>64</v>
      </c>
      <c r="B10" s="180" t="s">
        <v>164</v>
      </c>
      <c r="C10" s="167">
        <v>173418</v>
      </c>
      <c r="D10" s="254">
        <v>179930</v>
      </c>
      <c r="E10" s="103">
        <v>179930</v>
      </c>
    </row>
    <row r="11" spans="1:5" s="51" customFormat="1" ht="15" customHeight="1">
      <c r="A11" s="196" t="s">
        <v>65</v>
      </c>
      <c r="B11" s="180" t="s">
        <v>165</v>
      </c>
      <c r="C11" s="167">
        <v>155004</v>
      </c>
      <c r="D11" s="254">
        <v>172196</v>
      </c>
      <c r="E11" s="103">
        <v>172196</v>
      </c>
    </row>
    <row r="12" spans="1:5" s="51" customFormat="1" ht="15" customHeight="1">
      <c r="A12" s="196" t="s">
        <v>66</v>
      </c>
      <c r="B12" s="180" t="s">
        <v>166</v>
      </c>
      <c r="C12" s="167">
        <v>7910</v>
      </c>
      <c r="D12" s="254">
        <v>10434</v>
      </c>
      <c r="E12" s="103">
        <v>10434</v>
      </c>
    </row>
    <row r="13" spans="1:5" s="51" customFormat="1" ht="15" customHeight="1">
      <c r="A13" s="196" t="s">
        <v>97</v>
      </c>
      <c r="B13" s="180" t="s">
        <v>390</v>
      </c>
      <c r="C13" s="167">
        <v>19410</v>
      </c>
      <c r="D13" s="254">
        <v>54175</v>
      </c>
      <c r="E13" s="103">
        <v>54175</v>
      </c>
    </row>
    <row r="14" spans="1:5" s="50" customFormat="1" ht="15" customHeight="1" thickBot="1">
      <c r="A14" s="197" t="s">
        <v>67</v>
      </c>
      <c r="B14" s="181" t="s">
        <v>331</v>
      </c>
      <c r="C14" s="167"/>
      <c r="D14" s="254"/>
      <c r="E14" s="103"/>
    </row>
    <row r="15" spans="1:5" s="50" customFormat="1" ht="15" customHeight="1" thickBot="1">
      <c r="A15" s="25" t="s">
        <v>7</v>
      </c>
      <c r="B15" s="109" t="s">
        <v>167</v>
      </c>
      <c r="C15" s="166">
        <f>+C16+C17+C18+C19+C20</f>
        <v>62894</v>
      </c>
      <c r="D15" s="252">
        <f>+D16+D17+D18+D19+D20</f>
        <v>90854</v>
      </c>
      <c r="E15" s="102">
        <f>+E16+E17+E18+E19+E20</f>
        <v>92885</v>
      </c>
    </row>
    <row r="16" spans="1:5" s="50" customFormat="1" ht="15" customHeight="1">
      <c r="A16" s="195" t="s">
        <v>69</v>
      </c>
      <c r="B16" s="179" t="s">
        <v>168</v>
      </c>
      <c r="C16" s="168"/>
      <c r="D16" s="253"/>
      <c r="E16" s="104"/>
    </row>
    <row r="17" spans="1:5" s="50" customFormat="1" ht="15" customHeight="1">
      <c r="A17" s="196" t="s">
        <v>70</v>
      </c>
      <c r="B17" s="180" t="s">
        <v>169</v>
      </c>
      <c r="C17" s="167"/>
      <c r="D17" s="254"/>
      <c r="E17" s="103"/>
    </row>
    <row r="18" spans="1:5" s="50" customFormat="1" ht="15" customHeight="1">
      <c r="A18" s="196" t="s">
        <v>71</v>
      </c>
      <c r="B18" s="180" t="s">
        <v>323</v>
      </c>
      <c r="C18" s="167"/>
      <c r="D18" s="254"/>
      <c r="E18" s="103"/>
    </row>
    <row r="19" spans="1:5" s="50" customFormat="1" ht="15" customHeight="1">
      <c r="A19" s="196" t="s">
        <v>72</v>
      </c>
      <c r="B19" s="180" t="s">
        <v>324</v>
      </c>
      <c r="C19" s="167"/>
      <c r="D19" s="254"/>
      <c r="E19" s="103"/>
    </row>
    <row r="20" spans="1:5" s="50" customFormat="1" ht="15" customHeight="1">
      <c r="A20" s="196" t="s">
        <v>73</v>
      </c>
      <c r="B20" s="180" t="s">
        <v>170</v>
      </c>
      <c r="C20" s="167">
        <v>62894</v>
      </c>
      <c r="D20" s="254">
        <v>90854</v>
      </c>
      <c r="E20" s="103">
        <v>92885</v>
      </c>
    </row>
    <row r="21" spans="1:5" s="51" customFormat="1" ht="15" customHeight="1" thickBot="1">
      <c r="A21" s="197" t="s">
        <v>80</v>
      </c>
      <c r="B21" s="181" t="s">
        <v>171</v>
      </c>
      <c r="C21" s="169"/>
      <c r="D21" s="255"/>
      <c r="E21" s="105">
        <v>5854</v>
      </c>
    </row>
    <row r="22" spans="1:5" s="51" customFormat="1" ht="15" customHeight="1" thickBot="1">
      <c r="A22" s="25" t="s">
        <v>8</v>
      </c>
      <c r="B22" s="19" t="s">
        <v>172</v>
      </c>
      <c r="C22" s="166">
        <f>+C23+C24+C25+C26+C27</f>
        <v>177506</v>
      </c>
      <c r="D22" s="252">
        <f>+D23+D24+D25+D26+D27</f>
        <v>146823</v>
      </c>
      <c r="E22" s="102">
        <f>+E23+E24+E25+E26+E27</f>
        <v>145605</v>
      </c>
    </row>
    <row r="23" spans="1:5" s="51" customFormat="1" ht="15" customHeight="1">
      <c r="A23" s="195" t="s">
        <v>52</v>
      </c>
      <c r="B23" s="179" t="s">
        <v>173</v>
      </c>
      <c r="C23" s="168"/>
      <c r="D23" s="253">
        <v>9383</v>
      </c>
      <c r="E23" s="104">
        <v>9383</v>
      </c>
    </row>
    <row r="24" spans="1:5" s="50" customFormat="1" ht="15" customHeight="1">
      <c r="A24" s="196" t="s">
        <v>53</v>
      </c>
      <c r="B24" s="180" t="s">
        <v>174</v>
      </c>
      <c r="C24" s="167"/>
      <c r="D24" s="254"/>
      <c r="E24" s="103"/>
    </row>
    <row r="25" spans="1:5" s="51" customFormat="1" ht="15" customHeight="1">
      <c r="A25" s="196" t="s">
        <v>54</v>
      </c>
      <c r="B25" s="180" t="s">
        <v>325</v>
      </c>
      <c r="C25" s="167"/>
      <c r="D25" s="254"/>
      <c r="E25" s="103"/>
    </row>
    <row r="26" spans="1:5" s="51" customFormat="1" ht="15" customHeight="1">
      <c r="A26" s="196" t="s">
        <v>55</v>
      </c>
      <c r="B26" s="180" t="s">
        <v>326</v>
      </c>
      <c r="C26" s="167"/>
      <c r="D26" s="254"/>
      <c r="E26" s="103"/>
    </row>
    <row r="27" spans="1:5" s="51" customFormat="1" ht="15" customHeight="1">
      <c r="A27" s="196" t="s">
        <v>110</v>
      </c>
      <c r="B27" s="180" t="s">
        <v>175</v>
      </c>
      <c r="C27" s="167">
        <v>177506</v>
      </c>
      <c r="D27" s="254">
        <v>137440</v>
      </c>
      <c r="E27" s="103">
        <v>136222</v>
      </c>
    </row>
    <row r="28" spans="1:5" s="51" customFormat="1" ht="15" customHeight="1" thickBot="1">
      <c r="A28" s="197" t="s">
        <v>111</v>
      </c>
      <c r="B28" s="181" t="s">
        <v>176</v>
      </c>
      <c r="C28" s="169">
        <v>125068</v>
      </c>
      <c r="D28" s="255">
        <v>80615</v>
      </c>
      <c r="E28" s="105">
        <v>117222</v>
      </c>
    </row>
    <row r="29" spans="1:5" s="51" customFormat="1" ht="15" customHeight="1" thickBot="1">
      <c r="A29" s="25" t="s">
        <v>112</v>
      </c>
      <c r="B29" s="19" t="s">
        <v>472</v>
      </c>
      <c r="C29" s="172">
        <f>SUM(C30:C36)</f>
        <v>316800</v>
      </c>
      <c r="D29" s="172">
        <f>SUM(D30:D36)</f>
        <v>362800</v>
      </c>
      <c r="E29" s="207">
        <f>SUM(E30:E36)</f>
        <v>363971</v>
      </c>
    </row>
    <row r="30" spans="1:5" s="51" customFormat="1" ht="15" customHeight="1">
      <c r="A30" s="195" t="s">
        <v>177</v>
      </c>
      <c r="B30" s="179" t="str">
        <f>'Z_1.1.sz.mell.'!B33</f>
        <v>Építményadó</v>
      </c>
      <c r="C30" s="168"/>
      <c r="D30" s="168"/>
      <c r="E30" s="104"/>
    </row>
    <row r="31" spans="1:5" s="51" customFormat="1" ht="15" customHeight="1">
      <c r="A31" s="196" t="s">
        <v>178</v>
      </c>
      <c r="B31" s="179" t="str">
        <f>'Z_1.1.sz.mell.'!B34</f>
        <v>Magánszemélyek kommunális adója</v>
      </c>
      <c r="C31" s="167">
        <v>32000</v>
      </c>
      <c r="D31" s="167">
        <v>32000</v>
      </c>
      <c r="E31" s="103">
        <v>32969</v>
      </c>
    </row>
    <row r="32" spans="1:5" s="51" customFormat="1" ht="15" customHeight="1">
      <c r="A32" s="196" t="s">
        <v>179</v>
      </c>
      <c r="B32" s="179" t="str">
        <f>'Z_1.1.sz.mell.'!B35</f>
        <v>Iparűzési adó</v>
      </c>
      <c r="C32" s="167">
        <v>262000</v>
      </c>
      <c r="D32" s="167">
        <v>308000</v>
      </c>
      <c r="E32" s="103">
        <v>308262</v>
      </c>
    </row>
    <row r="33" spans="1:5" s="51" customFormat="1" ht="15" customHeight="1">
      <c r="A33" s="196" t="s">
        <v>180</v>
      </c>
      <c r="B33" s="179" t="str">
        <f>'Z_1.1.sz.mell.'!B36</f>
        <v>Talajterhelési díj</v>
      </c>
      <c r="C33" s="167">
        <v>200</v>
      </c>
      <c r="D33" s="167">
        <v>200</v>
      </c>
      <c r="E33" s="103">
        <v>373</v>
      </c>
    </row>
    <row r="34" spans="1:5" s="51" customFormat="1" ht="15" customHeight="1">
      <c r="A34" s="196" t="s">
        <v>476</v>
      </c>
      <c r="B34" s="179" t="str">
        <f>'Z_1.1.sz.mell.'!B37</f>
        <v>Gépjárműadó</v>
      </c>
      <c r="C34" s="167">
        <v>21000</v>
      </c>
      <c r="D34" s="167">
        <v>21000</v>
      </c>
      <c r="E34" s="103">
        <v>21458</v>
      </c>
    </row>
    <row r="35" spans="1:5" s="51" customFormat="1" ht="15" customHeight="1">
      <c r="A35" s="196" t="s">
        <v>477</v>
      </c>
      <c r="B35" s="179" t="str">
        <f>'Z_1.1.sz.mell.'!B38</f>
        <v>Telekadó</v>
      </c>
      <c r="C35" s="167"/>
      <c r="D35" s="167">
        <v>0</v>
      </c>
      <c r="E35" s="103"/>
    </row>
    <row r="36" spans="1:5" s="51" customFormat="1" ht="15" customHeight="1" thickBot="1">
      <c r="A36" s="197" t="s">
        <v>478</v>
      </c>
      <c r="B36" s="179" t="str">
        <f>'Z_1.1.sz.mell.'!B39</f>
        <v>Egyéb közhatalmi bevételek</v>
      </c>
      <c r="C36" s="169">
        <v>1600</v>
      </c>
      <c r="D36" s="169">
        <v>1600</v>
      </c>
      <c r="E36" s="105">
        <v>909</v>
      </c>
    </row>
    <row r="37" spans="1:5" s="51" customFormat="1" ht="15" customHeight="1" thickBot="1">
      <c r="A37" s="25" t="s">
        <v>10</v>
      </c>
      <c r="B37" s="19" t="s">
        <v>332</v>
      </c>
      <c r="C37" s="166">
        <f>SUM(C38:C48)</f>
        <v>243223</v>
      </c>
      <c r="D37" s="252">
        <f>SUM(D38:D48)</f>
        <v>169936</v>
      </c>
      <c r="E37" s="102">
        <f>SUM(E38:E48)</f>
        <v>171314</v>
      </c>
    </row>
    <row r="38" spans="1:5" s="51" customFormat="1" ht="15" customHeight="1">
      <c r="A38" s="195" t="s">
        <v>56</v>
      </c>
      <c r="B38" s="179" t="s">
        <v>184</v>
      </c>
      <c r="C38" s="168"/>
      <c r="D38" s="253"/>
      <c r="E38" s="104"/>
    </row>
    <row r="39" spans="1:5" s="51" customFormat="1" ht="15" customHeight="1">
      <c r="A39" s="196" t="s">
        <v>57</v>
      </c>
      <c r="B39" s="180" t="s">
        <v>185</v>
      </c>
      <c r="C39" s="167">
        <v>15000</v>
      </c>
      <c r="D39" s="254">
        <v>15000</v>
      </c>
      <c r="E39" s="103">
        <v>12981</v>
      </c>
    </row>
    <row r="40" spans="1:5" s="51" customFormat="1" ht="15" customHeight="1">
      <c r="A40" s="196" t="s">
        <v>58</v>
      </c>
      <c r="B40" s="180" t="s">
        <v>186</v>
      </c>
      <c r="C40" s="167">
        <v>990</v>
      </c>
      <c r="D40" s="254">
        <v>5664</v>
      </c>
      <c r="E40" s="103">
        <v>5816</v>
      </c>
    </row>
    <row r="41" spans="1:5" s="51" customFormat="1" ht="15" customHeight="1">
      <c r="A41" s="196" t="s">
        <v>114</v>
      </c>
      <c r="B41" s="180" t="s">
        <v>187</v>
      </c>
      <c r="C41" s="167">
        <v>8000</v>
      </c>
      <c r="D41" s="254">
        <v>8000</v>
      </c>
      <c r="E41" s="103">
        <v>8514</v>
      </c>
    </row>
    <row r="42" spans="1:5" s="51" customFormat="1" ht="15" customHeight="1">
      <c r="A42" s="196" t="s">
        <v>115</v>
      </c>
      <c r="B42" s="180" t="s">
        <v>188</v>
      </c>
      <c r="C42" s="167"/>
      <c r="D42" s="254">
        <v>0</v>
      </c>
      <c r="E42" s="103"/>
    </row>
    <row r="43" spans="1:5" s="51" customFormat="1" ht="15" customHeight="1">
      <c r="A43" s="196" t="s">
        <v>116</v>
      </c>
      <c r="B43" s="180" t="s">
        <v>189</v>
      </c>
      <c r="C43" s="167">
        <v>4310</v>
      </c>
      <c r="D43" s="254">
        <v>8039</v>
      </c>
      <c r="E43" s="103">
        <v>7963</v>
      </c>
    </row>
    <row r="44" spans="1:5" s="51" customFormat="1" ht="15" customHeight="1">
      <c r="A44" s="196" t="s">
        <v>117</v>
      </c>
      <c r="B44" s="180" t="s">
        <v>190</v>
      </c>
      <c r="C44" s="167">
        <v>214923</v>
      </c>
      <c r="D44" s="254">
        <v>132636</v>
      </c>
      <c r="E44" s="103">
        <v>135408</v>
      </c>
    </row>
    <row r="45" spans="1:5" s="51" customFormat="1" ht="15" customHeight="1">
      <c r="A45" s="196" t="s">
        <v>118</v>
      </c>
      <c r="B45" s="180" t="s">
        <v>479</v>
      </c>
      <c r="C45" s="167"/>
      <c r="D45" s="254">
        <v>0</v>
      </c>
      <c r="E45" s="103">
        <v>11</v>
      </c>
    </row>
    <row r="46" spans="1:5" s="51" customFormat="1" ht="15" customHeight="1">
      <c r="A46" s="196" t="s">
        <v>182</v>
      </c>
      <c r="B46" s="180" t="s">
        <v>192</v>
      </c>
      <c r="C46" s="170"/>
      <c r="D46" s="286">
        <v>0</v>
      </c>
      <c r="E46" s="106"/>
    </row>
    <row r="47" spans="1:5" s="51" customFormat="1" ht="15" customHeight="1">
      <c r="A47" s="197" t="s">
        <v>183</v>
      </c>
      <c r="B47" s="181" t="s">
        <v>334</v>
      </c>
      <c r="C47" s="171"/>
      <c r="D47" s="287">
        <v>597</v>
      </c>
      <c r="E47" s="107">
        <v>597</v>
      </c>
    </row>
    <row r="48" spans="1:5" s="51" customFormat="1" ht="15" customHeight="1" thickBot="1">
      <c r="A48" s="197" t="s">
        <v>333</v>
      </c>
      <c r="B48" s="181" t="s">
        <v>193</v>
      </c>
      <c r="C48" s="171"/>
      <c r="D48" s="287"/>
      <c r="E48" s="107">
        <v>24</v>
      </c>
    </row>
    <row r="49" spans="1:5" s="51" customFormat="1" ht="15" customHeight="1" thickBot="1">
      <c r="A49" s="25" t="s">
        <v>11</v>
      </c>
      <c r="B49" s="19" t="s">
        <v>194</v>
      </c>
      <c r="C49" s="166">
        <f>SUM(C50:C54)</f>
        <v>0</v>
      </c>
      <c r="D49" s="252">
        <f>SUM(D50:D54)</f>
        <v>14513</v>
      </c>
      <c r="E49" s="102">
        <f>SUM(E50:E54)</f>
        <v>14513</v>
      </c>
    </row>
    <row r="50" spans="1:5" s="51" customFormat="1" ht="15" customHeight="1">
      <c r="A50" s="195" t="s">
        <v>59</v>
      </c>
      <c r="B50" s="179" t="s">
        <v>198</v>
      </c>
      <c r="C50" s="218"/>
      <c r="D50" s="288"/>
      <c r="E50" s="108"/>
    </row>
    <row r="51" spans="1:5" s="51" customFormat="1" ht="15" customHeight="1">
      <c r="A51" s="196" t="s">
        <v>60</v>
      </c>
      <c r="B51" s="180" t="s">
        <v>199</v>
      </c>
      <c r="C51" s="170"/>
      <c r="D51" s="286">
        <v>14513</v>
      </c>
      <c r="E51" s="106">
        <v>14513</v>
      </c>
    </row>
    <row r="52" spans="1:5" s="51" customFormat="1" ht="15" customHeight="1">
      <c r="A52" s="196" t="s">
        <v>195</v>
      </c>
      <c r="B52" s="180" t="s">
        <v>200</v>
      </c>
      <c r="C52" s="170"/>
      <c r="D52" s="286"/>
      <c r="E52" s="106"/>
    </row>
    <row r="53" spans="1:5" s="51" customFormat="1" ht="15" customHeight="1">
      <c r="A53" s="196" t="s">
        <v>196</v>
      </c>
      <c r="B53" s="180" t="s">
        <v>201</v>
      </c>
      <c r="C53" s="170"/>
      <c r="D53" s="286"/>
      <c r="E53" s="106"/>
    </row>
    <row r="54" spans="1:5" s="51" customFormat="1" ht="15" customHeight="1" thickBot="1">
      <c r="A54" s="197" t="s">
        <v>197</v>
      </c>
      <c r="B54" s="181" t="s">
        <v>202</v>
      </c>
      <c r="C54" s="171"/>
      <c r="D54" s="287"/>
      <c r="E54" s="107"/>
    </row>
    <row r="55" spans="1:5" s="51" customFormat="1" ht="15" customHeight="1" thickBot="1">
      <c r="A55" s="25" t="s">
        <v>119</v>
      </c>
      <c r="B55" s="19" t="s">
        <v>203</v>
      </c>
      <c r="C55" s="166">
        <f>SUM(C56:C58)</f>
        <v>0</v>
      </c>
      <c r="D55" s="252">
        <f>SUM(D56:D58)</f>
        <v>4310</v>
      </c>
      <c r="E55" s="102">
        <f>SUM(E56:E58)</f>
        <v>4387</v>
      </c>
    </row>
    <row r="56" spans="1:5" s="51" customFormat="1" ht="15" customHeight="1">
      <c r="A56" s="195" t="s">
        <v>61</v>
      </c>
      <c r="B56" s="179" t="s">
        <v>204</v>
      </c>
      <c r="C56" s="168"/>
      <c r="D56" s="253"/>
      <c r="E56" s="104"/>
    </row>
    <row r="57" spans="1:5" s="51" customFormat="1" ht="15" customHeight="1">
      <c r="A57" s="196" t="s">
        <v>62</v>
      </c>
      <c r="B57" s="180" t="s">
        <v>327</v>
      </c>
      <c r="C57" s="167"/>
      <c r="D57" s="254"/>
      <c r="E57" s="103"/>
    </row>
    <row r="58" spans="1:5" s="51" customFormat="1" ht="15" customHeight="1">
      <c r="A58" s="196" t="s">
        <v>207</v>
      </c>
      <c r="B58" s="180" t="s">
        <v>205</v>
      </c>
      <c r="C58" s="167"/>
      <c r="D58" s="254">
        <v>4310</v>
      </c>
      <c r="E58" s="103">
        <v>4387</v>
      </c>
    </row>
    <row r="59" spans="1:5" s="51" customFormat="1" ht="15" customHeight="1" thickBot="1">
      <c r="A59" s="197" t="s">
        <v>208</v>
      </c>
      <c r="B59" s="181" t="s">
        <v>206</v>
      </c>
      <c r="C59" s="169"/>
      <c r="D59" s="255"/>
      <c r="E59" s="105"/>
    </row>
    <row r="60" spans="1:5" s="51" customFormat="1" ht="15" customHeight="1" thickBot="1">
      <c r="A60" s="25" t="s">
        <v>13</v>
      </c>
      <c r="B60" s="109" t="s">
        <v>209</v>
      </c>
      <c r="C60" s="166">
        <f>SUM(C61:C63)</f>
        <v>4650</v>
      </c>
      <c r="D60" s="252">
        <f>SUM(D61:D63)</f>
        <v>4650</v>
      </c>
      <c r="E60" s="102">
        <f>SUM(E61:E63)</f>
        <v>170</v>
      </c>
    </row>
    <row r="61" spans="1:5" s="51" customFormat="1" ht="15" customHeight="1">
      <c r="A61" s="195" t="s">
        <v>120</v>
      </c>
      <c r="B61" s="179" t="s">
        <v>211</v>
      </c>
      <c r="C61" s="170"/>
      <c r="D61" s="286"/>
      <c r="E61" s="106"/>
    </row>
    <row r="62" spans="1:5" s="51" customFormat="1" ht="15" customHeight="1">
      <c r="A62" s="196" t="s">
        <v>121</v>
      </c>
      <c r="B62" s="180" t="s">
        <v>328</v>
      </c>
      <c r="C62" s="170"/>
      <c r="D62" s="286"/>
      <c r="E62" s="106"/>
    </row>
    <row r="63" spans="1:5" s="51" customFormat="1" ht="15" customHeight="1">
      <c r="A63" s="196" t="s">
        <v>144</v>
      </c>
      <c r="B63" s="180" t="s">
        <v>212</v>
      </c>
      <c r="C63" s="170">
        <v>4650</v>
      </c>
      <c r="D63" s="286">
        <v>4650</v>
      </c>
      <c r="E63" s="106">
        <v>170</v>
      </c>
    </row>
    <row r="64" spans="1:5" s="51" customFormat="1" ht="15" customHeight="1" thickBot="1">
      <c r="A64" s="197" t="s">
        <v>210</v>
      </c>
      <c r="B64" s="181" t="s">
        <v>213</v>
      </c>
      <c r="C64" s="170"/>
      <c r="D64" s="286"/>
      <c r="E64" s="106"/>
    </row>
    <row r="65" spans="1:5" s="51" customFormat="1" ht="15" customHeight="1" thickBot="1">
      <c r="A65" s="25" t="s">
        <v>14</v>
      </c>
      <c r="B65" s="19" t="s">
        <v>214</v>
      </c>
      <c r="C65" s="172">
        <f>+C8+C15+C22+C29+C37+C49+C55+C60</f>
        <v>1294635</v>
      </c>
      <c r="D65" s="256">
        <f>+D8+D15+D22+D29+D37+D49+D55+D60</f>
        <v>1348631</v>
      </c>
      <c r="E65" s="207">
        <f>+E8+E15+E22+E29+E37+E49+E55+E60</f>
        <v>1347590</v>
      </c>
    </row>
    <row r="66" spans="1:5" s="51" customFormat="1" ht="15" customHeight="1" thickBot="1">
      <c r="A66" s="198" t="s">
        <v>298</v>
      </c>
      <c r="B66" s="109" t="s">
        <v>216</v>
      </c>
      <c r="C66" s="166">
        <f>SUM(C67:C69)</f>
        <v>0</v>
      </c>
      <c r="D66" s="252">
        <f>SUM(D67:D69)</f>
        <v>0</v>
      </c>
      <c r="E66" s="102">
        <f>SUM(E67:E69)</f>
        <v>0</v>
      </c>
    </row>
    <row r="67" spans="1:5" s="51" customFormat="1" ht="15" customHeight="1">
      <c r="A67" s="195" t="s">
        <v>243</v>
      </c>
      <c r="B67" s="179" t="s">
        <v>217</v>
      </c>
      <c r="C67" s="170"/>
      <c r="D67" s="286"/>
      <c r="E67" s="106"/>
    </row>
    <row r="68" spans="1:5" s="51" customFormat="1" ht="15" customHeight="1">
      <c r="A68" s="196" t="s">
        <v>252</v>
      </c>
      <c r="B68" s="180" t="s">
        <v>218</v>
      </c>
      <c r="C68" s="170"/>
      <c r="D68" s="286"/>
      <c r="E68" s="106"/>
    </row>
    <row r="69" spans="1:5" s="51" customFormat="1" ht="15" customHeight="1" thickBot="1">
      <c r="A69" s="205" t="s">
        <v>253</v>
      </c>
      <c r="B69" s="320" t="s">
        <v>359</v>
      </c>
      <c r="C69" s="321"/>
      <c r="D69" s="289"/>
      <c r="E69" s="322"/>
    </row>
    <row r="70" spans="1:5" s="51" customFormat="1" ht="15" customHeight="1" thickBot="1">
      <c r="A70" s="198" t="s">
        <v>219</v>
      </c>
      <c r="B70" s="109" t="s">
        <v>220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5" customHeight="1">
      <c r="A71" s="195" t="s">
        <v>98</v>
      </c>
      <c r="B71" s="307" t="s">
        <v>221</v>
      </c>
      <c r="C71" s="170"/>
      <c r="D71" s="170"/>
      <c r="E71" s="106"/>
    </row>
    <row r="72" spans="1:5" s="51" customFormat="1" ht="15" customHeight="1">
      <c r="A72" s="196" t="s">
        <v>99</v>
      </c>
      <c r="B72" s="307" t="s">
        <v>485</v>
      </c>
      <c r="C72" s="170"/>
      <c r="D72" s="170"/>
      <c r="E72" s="106"/>
    </row>
    <row r="73" spans="1:5" s="51" customFormat="1" ht="15" customHeight="1">
      <c r="A73" s="196" t="s">
        <v>244</v>
      </c>
      <c r="B73" s="307" t="s">
        <v>222</v>
      </c>
      <c r="C73" s="170"/>
      <c r="D73" s="170"/>
      <c r="E73" s="106"/>
    </row>
    <row r="74" spans="1:5" s="51" customFormat="1" ht="15" customHeight="1" thickBot="1">
      <c r="A74" s="197" t="s">
        <v>245</v>
      </c>
      <c r="B74" s="308" t="s">
        <v>486</v>
      </c>
      <c r="C74" s="170"/>
      <c r="D74" s="170"/>
      <c r="E74" s="106"/>
    </row>
    <row r="75" spans="1:5" s="51" customFormat="1" ht="15" customHeight="1" thickBot="1">
      <c r="A75" s="198" t="s">
        <v>223</v>
      </c>
      <c r="B75" s="109" t="s">
        <v>224</v>
      </c>
      <c r="C75" s="166">
        <f>SUM(C76:C77)</f>
        <v>863937</v>
      </c>
      <c r="D75" s="166">
        <f>SUM(D76:D77)</f>
        <v>864004</v>
      </c>
      <c r="E75" s="102">
        <f>SUM(E76:E77)</f>
        <v>864004</v>
      </c>
    </row>
    <row r="76" spans="1:5" s="51" customFormat="1" ht="15" customHeight="1">
      <c r="A76" s="195" t="s">
        <v>246</v>
      </c>
      <c r="B76" s="179" t="s">
        <v>225</v>
      </c>
      <c r="C76" s="170">
        <v>863937</v>
      </c>
      <c r="D76" s="170">
        <v>864004</v>
      </c>
      <c r="E76" s="106">
        <v>864004</v>
      </c>
    </row>
    <row r="77" spans="1:5" s="51" customFormat="1" ht="15" customHeight="1" thickBot="1">
      <c r="A77" s="197" t="s">
        <v>247</v>
      </c>
      <c r="B77" s="181" t="s">
        <v>226</v>
      </c>
      <c r="C77" s="170"/>
      <c r="D77" s="170"/>
      <c r="E77" s="106"/>
    </row>
    <row r="78" spans="1:5" s="50" customFormat="1" ht="15" customHeight="1" thickBot="1">
      <c r="A78" s="198" t="s">
        <v>227</v>
      </c>
      <c r="B78" s="109" t="s">
        <v>228</v>
      </c>
      <c r="C78" s="166">
        <f>SUM(C79:C81)</f>
        <v>0</v>
      </c>
      <c r="D78" s="166">
        <f>SUM(D79:D81)</f>
        <v>18636</v>
      </c>
      <c r="E78" s="102">
        <f>SUM(E79:E81)</f>
        <v>18636</v>
      </c>
    </row>
    <row r="79" spans="1:5" s="51" customFormat="1" ht="15" customHeight="1">
      <c r="A79" s="195" t="s">
        <v>248</v>
      </c>
      <c r="B79" s="179" t="s">
        <v>229</v>
      </c>
      <c r="C79" s="170"/>
      <c r="D79" s="170">
        <v>18636</v>
      </c>
      <c r="E79" s="106">
        <v>18636</v>
      </c>
    </row>
    <row r="80" spans="1:5" s="51" customFormat="1" ht="15" customHeight="1">
      <c r="A80" s="196" t="s">
        <v>249</v>
      </c>
      <c r="B80" s="180" t="s">
        <v>230</v>
      </c>
      <c r="C80" s="170"/>
      <c r="D80" s="170"/>
      <c r="E80" s="106"/>
    </row>
    <row r="81" spans="1:5" s="51" customFormat="1" ht="15" customHeight="1" thickBot="1">
      <c r="A81" s="197" t="s">
        <v>250</v>
      </c>
      <c r="B81" s="181" t="s">
        <v>487</v>
      </c>
      <c r="C81" s="170"/>
      <c r="D81" s="170"/>
      <c r="E81" s="106"/>
    </row>
    <row r="82" spans="1:5" s="51" customFormat="1" ht="15" customHeight="1" thickBot="1">
      <c r="A82" s="198" t="s">
        <v>231</v>
      </c>
      <c r="B82" s="109" t="s">
        <v>251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5" customHeight="1">
      <c r="A83" s="199" t="s">
        <v>232</v>
      </c>
      <c r="B83" s="179" t="s">
        <v>233</v>
      </c>
      <c r="C83" s="170"/>
      <c r="D83" s="170"/>
      <c r="E83" s="106"/>
    </row>
    <row r="84" spans="1:5" s="51" customFormat="1" ht="15" customHeight="1">
      <c r="A84" s="200" t="s">
        <v>234</v>
      </c>
      <c r="B84" s="180" t="s">
        <v>235</v>
      </c>
      <c r="C84" s="170"/>
      <c r="D84" s="170"/>
      <c r="E84" s="106"/>
    </row>
    <row r="85" spans="1:5" s="51" customFormat="1" ht="15" customHeight="1">
      <c r="A85" s="200" t="s">
        <v>236</v>
      </c>
      <c r="B85" s="180" t="s">
        <v>237</v>
      </c>
      <c r="C85" s="170"/>
      <c r="D85" s="170"/>
      <c r="E85" s="106"/>
    </row>
    <row r="86" spans="1:5" s="50" customFormat="1" ht="15" customHeight="1" thickBot="1">
      <c r="A86" s="201" t="s">
        <v>238</v>
      </c>
      <c r="B86" s="181" t="s">
        <v>239</v>
      </c>
      <c r="C86" s="170"/>
      <c r="D86" s="170"/>
      <c r="E86" s="106"/>
    </row>
    <row r="87" spans="1:5" s="50" customFormat="1" ht="15" customHeight="1" thickBot="1">
      <c r="A87" s="198" t="s">
        <v>240</v>
      </c>
      <c r="B87" s="109" t="s">
        <v>373</v>
      </c>
      <c r="C87" s="221"/>
      <c r="D87" s="221"/>
      <c r="E87" s="222"/>
    </row>
    <row r="88" spans="1:5" s="50" customFormat="1" ht="15" customHeight="1" thickBot="1">
      <c r="A88" s="198" t="s">
        <v>391</v>
      </c>
      <c r="B88" s="109" t="s">
        <v>241</v>
      </c>
      <c r="C88" s="221"/>
      <c r="D88" s="221"/>
      <c r="E88" s="222"/>
    </row>
    <row r="89" spans="1:5" s="50" customFormat="1" ht="15" customHeight="1" thickBot="1">
      <c r="A89" s="198" t="s">
        <v>392</v>
      </c>
      <c r="B89" s="185" t="s">
        <v>376</v>
      </c>
      <c r="C89" s="172">
        <f>+C66+C70+C75+C78+C82+C88+C87</f>
        <v>863937</v>
      </c>
      <c r="D89" s="172">
        <f>+D66+D70+D75+D78+D82+D88+D87</f>
        <v>882640</v>
      </c>
      <c r="E89" s="207">
        <f>+E66+E70+E75+E78+E82+E88+E87</f>
        <v>882640</v>
      </c>
    </row>
    <row r="90" spans="1:5" s="50" customFormat="1" ht="15" customHeight="1" thickBot="1">
      <c r="A90" s="202" t="s">
        <v>393</v>
      </c>
      <c r="B90" s="186" t="s">
        <v>394</v>
      </c>
      <c r="C90" s="172">
        <f>+C65+C89</f>
        <v>2158572</v>
      </c>
      <c r="D90" s="172">
        <f>+D65+D89</f>
        <v>2231271</v>
      </c>
      <c r="E90" s="207">
        <f>+E65+E89</f>
        <v>2230230</v>
      </c>
    </row>
    <row r="91" spans="1:3" s="51" customFormat="1" ht="15" customHeight="1" thickBot="1">
      <c r="A91" s="86"/>
      <c r="B91" s="87"/>
      <c r="C91" s="148"/>
    </row>
    <row r="92" spans="1:5" s="44" customFormat="1" ht="15" customHeight="1" thickBot="1">
      <c r="A92" s="968" t="s">
        <v>40</v>
      </c>
      <c r="B92" s="969"/>
      <c r="C92" s="969"/>
      <c r="D92" s="969"/>
      <c r="E92" s="970"/>
    </row>
    <row r="93" spans="1:5" s="52" customFormat="1" ht="15" customHeight="1" thickBot="1">
      <c r="A93" s="173" t="s">
        <v>6</v>
      </c>
      <c r="B93" s="24" t="s">
        <v>398</v>
      </c>
      <c r="C93" s="165">
        <f>+C94+C95+C96+C97+C98+C111</f>
        <v>1121561</v>
      </c>
      <c r="D93" s="165">
        <f>+D94+D95+D96+D97+D98+D111</f>
        <v>1401404</v>
      </c>
      <c r="E93" s="235">
        <f>+E94+E95+E96+E97+E98+E111</f>
        <v>892787</v>
      </c>
    </row>
    <row r="94" spans="1:5" ht="15" customHeight="1">
      <c r="A94" s="203" t="s">
        <v>63</v>
      </c>
      <c r="B94" s="8" t="s">
        <v>35</v>
      </c>
      <c r="C94" s="242">
        <v>38051</v>
      </c>
      <c r="D94" s="242">
        <v>40737</v>
      </c>
      <c r="E94" s="236">
        <v>38815</v>
      </c>
    </row>
    <row r="95" spans="1:5" ht="15" customHeight="1">
      <c r="A95" s="196" t="s">
        <v>64</v>
      </c>
      <c r="B95" s="6" t="s">
        <v>122</v>
      </c>
      <c r="C95" s="167">
        <v>5699</v>
      </c>
      <c r="D95" s="167">
        <v>6417</v>
      </c>
      <c r="E95" s="103">
        <v>6355</v>
      </c>
    </row>
    <row r="96" spans="1:5" ht="15" customHeight="1">
      <c r="A96" s="196" t="s">
        <v>65</v>
      </c>
      <c r="B96" s="6" t="s">
        <v>90</v>
      </c>
      <c r="C96" s="169">
        <v>412005</v>
      </c>
      <c r="D96" s="167">
        <v>279192</v>
      </c>
      <c r="E96" s="105">
        <v>267419</v>
      </c>
    </row>
    <row r="97" spans="1:5" ht="15" customHeight="1">
      <c r="A97" s="196" t="s">
        <v>66</v>
      </c>
      <c r="B97" s="9" t="s">
        <v>123</v>
      </c>
      <c r="C97" s="169">
        <v>24631</v>
      </c>
      <c r="D97" s="255">
        <v>16020</v>
      </c>
      <c r="E97" s="105">
        <v>12287</v>
      </c>
    </row>
    <row r="98" spans="1:5" ht="15" customHeight="1">
      <c r="A98" s="196" t="s">
        <v>75</v>
      </c>
      <c r="B98" s="17" t="s">
        <v>124</v>
      </c>
      <c r="C98" s="169">
        <v>549036</v>
      </c>
      <c r="D98" s="255">
        <v>572922</v>
      </c>
      <c r="E98" s="105">
        <v>567911</v>
      </c>
    </row>
    <row r="99" spans="1:5" ht="15" customHeight="1">
      <c r="A99" s="196" t="s">
        <v>67</v>
      </c>
      <c r="B99" s="6" t="s">
        <v>395</v>
      </c>
      <c r="C99" s="169"/>
      <c r="D99" s="255">
        <v>0</v>
      </c>
      <c r="E99" s="105"/>
    </row>
    <row r="100" spans="1:5" ht="15" customHeight="1">
      <c r="A100" s="196" t="s">
        <v>68</v>
      </c>
      <c r="B100" s="62" t="s">
        <v>339</v>
      </c>
      <c r="C100" s="169"/>
      <c r="D100" s="255">
        <v>0</v>
      </c>
      <c r="E100" s="105"/>
    </row>
    <row r="101" spans="1:5" ht="15" customHeight="1">
      <c r="A101" s="196" t="s">
        <v>76</v>
      </c>
      <c r="B101" s="62" t="s">
        <v>338</v>
      </c>
      <c r="C101" s="169"/>
      <c r="D101" s="255">
        <v>1324</v>
      </c>
      <c r="E101" s="105">
        <v>1324</v>
      </c>
    </row>
    <row r="102" spans="1:5" ht="15" customHeight="1">
      <c r="A102" s="196" t="s">
        <v>77</v>
      </c>
      <c r="B102" s="62" t="s">
        <v>257</v>
      </c>
      <c r="C102" s="169"/>
      <c r="D102" s="255">
        <v>0</v>
      </c>
      <c r="E102" s="105"/>
    </row>
    <row r="103" spans="1:5" ht="15" customHeight="1">
      <c r="A103" s="196" t="s">
        <v>78</v>
      </c>
      <c r="B103" s="63" t="s">
        <v>258</v>
      </c>
      <c r="C103" s="169"/>
      <c r="D103" s="255">
        <v>0</v>
      </c>
      <c r="E103" s="105"/>
    </row>
    <row r="104" spans="1:5" ht="15" customHeight="1">
      <c r="A104" s="196" t="s">
        <v>79</v>
      </c>
      <c r="B104" s="63" t="s">
        <v>259</v>
      </c>
      <c r="C104" s="169"/>
      <c r="D104" s="255">
        <v>0</v>
      </c>
      <c r="E104" s="105"/>
    </row>
    <row r="105" spans="1:5" ht="15" customHeight="1">
      <c r="A105" s="196" t="s">
        <v>81</v>
      </c>
      <c r="B105" s="62" t="s">
        <v>260</v>
      </c>
      <c r="C105" s="169">
        <v>385893</v>
      </c>
      <c r="D105" s="255">
        <v>385474</v>
      </c>
      <c r="E105" s="105">
        <v>385219</v>
      </c>
    </row>
    <row r="106" spans="1:5" ht="15" customHeight="1">
      <c r="A106" s="196" t="s">
        <v>125</v>
      </c>
      <c r="B106" s="62" t="s">
        <v>261</v>
      </c>
      <c r="C106" s="169"/>
      <c r="D106" s="255">
        <v>0</v>
      </c>
      <c r="E106" s="105"/>
    </row>
    <row r="107" spans="1:5" ht="15" customHeight="1">
      <c r="A107" s="196" t="s">
        <v>255</v>
      </c>
      <c r="B107" s="63" t="s">
        <v>262</v>
      </c>
      <c r="C107" s="167"/>
      <c r="D107" s="255">
        <v>0</v>
      </c>
      <c r="E107" s="105"/>
    </row>
    <row r="108" spans="1:5" ht="15" customHeight="1">
      <c r="A108" s="204" t="s">
        <v>256</v>
      </c>
      <c r="B108" s="64" t="s">
        <v>263</v>
      </c>
      <c r="C108" s="169"/>
      <c r="D108" s="255">
        <v>0</v>
      </c>
      <c r="E108" s="105"/>
    </row>
    <row r="109" spans="1:5" ht="15" customHeight="1">
      <c r="A109" s="196" t="s">
        <v>336</v>
      </c>
      <c r="B109" s="64" t="s">
        <v>264</v>
      </c>
      <c r="C109" s="169"/>
      <c r="D109" s="255">
        <v>0</v>
      </c>
      <c r="E109" s="105"/>
    </row>
    <row r="110" spans="1:5" ht="15" customHeight="1">
      <c r="A110" s="196" t="s">
        <v>337</v>
      </c>
      <c r="B110" s="63" t="s">
        <v>265</v>
      </c>
      <c r="C110" s="167">
        <v>163143</v>
      </c>
      <c r="D110" s="254">
        <v>186124</v>
      </c>
      <c r="E110" s="103">
        <v>181368</v>
      </c>
    </row>
    <row r="111" spans="1:5" ht="15" customHeight="1">
      <c r="A111" s="196" t="s">
        <v>341</v>
      </c>
      <c r="B111" s="9" t="s">
        <v>36</v>
      </c>
      <c r="C111" s="167">
        <v>92139</v>
      </c>
      <c r="D111" s="254">
        <v>486116</v>
      </c>
      <c r="E111" s="103"/>
    </row>
    <row r="112" spans="1:5" ht="15" customHeight="1">
      <c r="A112" s="197" t="s">
        <v>342</v>
      </c>
      <c r="B112" s="6" t="s">
        <v>396</v>
      </c>
      <c r="C112" s="169">
        <v>15044</v>
      </c>
      <c r="D112" s="255">
        <v>132123</v>
      </c>
      <c r="E112" s="105"/>
    </row>
    <row r="113" spans="1:5" ht="15" customHeight="1" thickBot="1">
      <c r="A113" s="205" t="s">
        <v>343</v>
      </c>
      <c r="B113" s="65" t="s">
        <v>397</v>
      </c>
      <c r="C113" s="243">
        <v>77095</v>
      </c>
      <c r="D113" s="292">
        <v>353993</v>
      </c>
      <c r="E113" s="237"/>
    </row>
    <row r="114" spans="1:5" ht="15" customHeight="1" thickBot="1">
      <c r="A114" s="25" t="s">
        <v>7</v>
      </c>
      <c r="B114" s="23" t="s">
        <v>266</v>
      </c>
      <c r="C114" s="166">
        <f>+C115+C117+C119</f>
        <v>842610</v>
      </c>
      <c r="D114" s="252">
        <f>+D115+D117+D119</f>
        <v>648250</v>
      </c>
      <c r="E114" s="102">
        <f>+E115+E117+E119</f>
        <v>645809</v>
      </c>
    </row>
    <row r="115" spans="1:5" ht="15" customHeight="1">
      <c r="A115" s="195" t="s">
        <v>69</v>
      </c>
      <c r="B115" s="6" t="s">
        <v>143</v>
      </c>
      <c r="C115" s="168">
        <v>781401</v>
      </c>
      <c r="D115" s="253">
        <v>537819</v>
      </c>
      <c r="E115" s="104">
        <v>537252</v>
      </c>
    </row>
    <row r="116" spans="1:5" ht="15" customHeight="1">
      <c r="A116" s="195" t="s">
        <v>70</v>
      </c>
      <c r="B116" s="10" t="s">
        <v>270</v>
      </c>
      <c r="C116" s="168">
        <v>733570</v>
      </c>
      <c r="D116" s="253">
        <v>480041</v>
      </c>
      <c r="E116" s="104"/>
    </row>
    <row r="117" spans="1:5" ht="15" customHeight="1">
      <c r="A117" s="195" t="s">
        <v>71</v>
      </c>
      <c r="B117" s="10" t="s">
        <v>126</v>
      </c>
      <c r="C117" s="167">
        <v>53367</v>
      </c>
      <c r="D117" s="254">
        <v>68844</v>
      </c>
      <c r="E117" s="103">
        <v>67742</v>
      </c>
    </row>
    <row r="118" spans="1:5" ht="15" customHeight="1">
      <c r="A118" s="195" t="s">
        <v>72</v>
      </c>
      <c r="B118" s="10" t="s">
        <v>271</v>
      </c>
      <c r="C118" s="167"/>
      <c r="D118" s="254">
        <v>0</v>
      </c>
      <c r="E118" s="103"/>
    </row>
    <row r="119" spans="1:5" ht="15" customHeight="1">
      <c r="A119" s="195" t="s">
        <v>73</v>
      </c>
      <c r="B119" s="111" t="s">
        <v>145</v>
      </c>
      <c r="C119" s="167">
        <v>7842</v>
      </c>
      <c r="D119" s="254">
        <v>41587</v>
      </c>
      <c r="E119" s="103">
        <v>40815</v>
      </c>
    </row>
    <row r="120" spans="1:5" ht="15" customHeight="1">
      <c r="A120" s="195" t="s">
        <v>80</v>
      </c>
      <c r="B120" s="110" t="s">
        <v>329</v>
      </c>
      <c r="C120" s="167"/>
      <c r="D120" s="254">
        <v>0</v>
      </c>
      <c r="E120" s="103"/>
    </row>
    <row r="121" spans="1:5" ht="15" customHeight="1">
      <c r="A121" s="195" t="s">
        <v>82</v>
      </c>
      <c r="B121" s="175" t="s">
        <v>276</v>
      </c>
      <c r="C121" s="167"/>
      <c r="D121" s="254">
        <v>0</v>
      </c>
      <c r="E121" s="103"/>
    </row>
    <row r="122" spans="1:5" ht="15" customHeight="1">
      <c r="A122" s="195" t="s">
        <v>127</v>
      </c>
      <c r="B122" s="63" t="s">
        <v>259</v>
      </c>
      <c r="C122" s="167"/>
      <c r="D122" s="254">
        <v>0</v>
      </c>
      <c r="E122" s="103"/>
    </row>
    <row r="123" spans="1:5" ht="15" customHeight="1">
      <c r="A123" s="195" t="s">
        <v>128</v>
      </c>
      <c r="B123" s="63" t="s">
        <v>275</v>
      </c>
      <c r="C123" s="167">
        <v>5396</v>
      </c>
      <c r="D123" s="254">
        <v>3763</v>
      </c>
      <c r="E123" s="103">
        <v>3763</v>
      </c>
    </row>
    <row r="124" spans="1:5" ht="15" customHeight="1">
      <c r="A124" s="195" t="s">
        <v>129</v>
      </c>
      <c r="B124" s="63" t="s">
        <v>274</v>
      </c>
      <c r="C124" s="167"/>
      <c r="D124" s="254">
        <v>0</v>
      </c>
      <c r="E124" s="103"/>
    </row>
    <row r="125" spans="1:5" ht="15" customHeight="1">
      <c r="A125" s="195" t="s">
        <v>267</v>
      </c>
      <c r="B125" s="63" t="s">
        <v>262</v>
      </c>
      <c r="C125" s="167"/>
      <c r="D125" s="254">
        <v>0</v>
      </c>
      <c r="E125" s="103"/>
    </row>
    <row r="126" spans="1:5" ht="15" customHeight="1">
      <c r="A126" s="195" t="s">
        <v>268</v>
      </c>
      <c r="B126" s="63" t="s">
        <v>273</v>
      </c>
      <c r="C126" s="167"/>
      <c r="D126" s="254">
        <v>0</v>
      </c>
      <c r="E126" s="103"/>
    </row>
    <row r="127" spans="1:5" ht="15" customHeight="1" thickBot="1">
      <c r="A127" s="204" t="s">
        <v>269</v>
      </c>
      <c r="B127" s="63" t="s">
        <v>272</v>
      </c>
      <c r="C127" s="169">
        <v>2446</v>
      </c>
      <c r="D127" s="255">
        <v>37824</v>
      </c>
      <c r="E127" s="105">
        <v>37052</v>
      </c>
    </row>
    <row r="128" spans="1:5" ht="15" customHeight="1" thickBot="1">
      <c r="A128" s="25" t="s">
        <v>8</v>
      </c>
      <c r="B128" s="56" t="s">
        <v>346</v>
      </c>
      <c r="C128" s="166">
        <f>+C93+C114</f>
        <v>1964171</v>
      </c>
      <c r="D128" s="252">
        <f>+D93+D114</f>
        <v>2049654</v>
      </c>
      <c r="E128" s="102">
        <f>+E93+E114</f>
        <v>1538596</v>
      </c>
    </row>
    <row r="129" spans="1:5" ht="15" customHeight="1" thickBot="1">
      <c r="A129" s="25" t="s">
        <v>9</v>
      </c>
      <c r="B129" s="56" t="s">
        <v>347</v>
      </c>
      <c r="C129" s="166">
        <f>+C130+C131+C132</f>
        <v>0</v>
      </c>
      <c r="D129" s="252">
        <f>+D130+D131+D132</f>
        <v>0</v>
      </c>
      <c r="E129" s="102">
        <f>+E130+E131+E132</f>
        <v>0</v>
      </c>
    </row>
    <row r="130" spans="1:5" s="52" customFormat="1" ht="15" customHeight="1">
      <c r="A130" s="195" t="s">
        <v>177</v>
      </c>
      <c r="B130" s="7" t="s">
        <v>401</v>
      </c>
      <c r="C130" s="167"/>
      <c r="D130" s="254"/>
      <c r="E130" s="103"/>
    </row>
    <row r="131" spans="1:5" ht="15" customHeight="1">
      <c r="A131" s="195" t="s">
        <v>178</v>
      </c>
      <c r="B131" s="7" t="s">
        <v>355</v>
      </c>
      <c r="C131" s="167"/>
      <c r="D131" s="254"/>
      <c r="E131" s="103"/>
    </row>
    <row r="132" spans="1:5" ht="15" customHeight="1" thickBot="1">
      <c r="A132" s="204" t="s">
        <v>179</v>
      </c>
      <c r="B132" s="5" t="s">
        <v>400</v>
      </c>
      <c r="C132" s="167"/>
      <c r="D132" s="254"/>
      <c r="E132" s="103"/>
    </row>
    <row r="133" spans="1:5" ht="15" customHeight="1" thickBot="1">
      <c r="A133" s="25" t="s">
        <v>10</v>
      </c>
      <c r="B133" s="56" t="s">
        <v>348</v>
      </c>
      <c r="C133" s="166">
        <f>+C134+C135+C136+C137+C138+C139</f>
        <v>0</v>
      </c>
      <c r="D133" s="252">
        <f>+D134+D135+D136+D137+D138+D139</f>
        <v>0</v>
      </c>
      <c r="E133" s="102">
        <f>+E134+E135+E136+E137+E138+E139</f>
        <v>0</v>
      </c>
    </row>
    <row r="134" spans="1:5" ht="15" customHeight="1">
      <c r="A134" s="195" t="s">
        <v>56</v>
      </c>
      <c r="B134" s="7" t="s">
        <v>357</v>
      </c>
      <c r="C134" s="167"/>
      <c r="D134" s="254"/>
      <c r="E134" s="103"/>
    </row>
    <row r="135" spans="1:5" ht="15" customHeight="1">
      <c r="A135" s="195" t="s">
        <v>57</v>
      </c>
      <c r="B135" s="7" t="s">
        <v>349</v>
      </c>
      <c r="C135" s="167"/>
      <c r="D135" s="254"/>
      <c r="E135" s="103"/>
    </row>
    <row r="136" spans="1:5" ht="15" customHeight="1">
      <c r="A136" s="195" t="s">
        <v>58</v>
      </c>
      <c r="B136" s="7" t="s">
        <v>350</v>
      </c>
      <c r="C136" s="167"/>
      <c r="D136" s="254"/>
      <c r="E136" s="103"/>
    </row>
    <row r="137" spans="1:5" ht="15" customHeight="1">
      <c r="A137" s="195" t="s">
        <v>114</v>
      </c>
      <c r="B137" s="7" t="s">
        <v>399</v>
      </c>
      <c r="C137" s="167"/>
      <c r="D137" s="254"/>
      <c r="E137" s="103"/>
    </row>
    <row r="138" spans="1:5" ht="15" customHeight="1">
      <c r="A138" s="195" t="s">
        <v>115</v>
      </c>
      <c r="B138" s="7" t="s">
        <v>352</v>
      </c>
      <c r="C138" s="167"/>
      <c r="D138" s="254"/>
      <c r="E138" s="103"/>
    </row>
    <row r="139" spans="1:5" s="52" customFormat="1" ht="15" customHeight="1" thickBot="1">
      <c r="A139" s="204" t="s">
        <v>116</v>
      </c>
      <c r="B139" s="5" t="s">
        <v>353</v>
      </c>
      <c r="C139" s="167"/>
      <c r="D139" s="254"/>
      <c r="E139" s="103"/>
    </row>
    <row r="140" spans="1:11" ht="15" customHeight="1" thickBot="1">
      <c r="A140" s="25" t="s">
        <v>11</v>
      </c>
      <c r="B140" s="56" t="s">
        <v>413</v>
      </c>
      <c r="C140" s="172">
        <f>+C141+C142+C144+C145+C143</f>
        <v>194401</v>
      </c>
      <c r="D140" s="256">
        <f>+D141+D142+D144+D145+D143</f>
        <v>181617</v>
      </c>
      <c r="E140" s="207">
        <f>+E141+E142+E144+E145+E143</f>
        <v>181617</v>
      </c>
      <c r="K140" s="95"/>
    </row>
    <row r="141" spans="1:5" ht="15" customHeight="1">
      <c r="A141" s="195" t="s">
        <v>59</v>
      </c>
      <c r="B141" s="7" t="s">
        <v>277</v>
      </c>
      <c r="C141" s="167"/>
      <c r="D141" s="254"/>
      <c r="E141" s="103"/>
    </row>
    <row r="142" spans="1:5" ht="15" customHeight="1">
      <c r="A142" s="195" t="s">
        <v>60</v>
      </c>
      <c r="B142" s="7" t="s">
        <v>278</v>
      </c>
      <c r="C142" s="167">
        <v>16506</v>
      </c>
      <c r="D142" s="254">
        <v>16530</v>
      </c>
      <c r="E142" s="103">
        <v>16530</v>
      </c>
    </row>
    <row r="143" spans="1:5" ht="15" customHeight="1">
      <c r="A143" s="195" t="s">
        <v>195</v>
      </c>
      <c r="B143" s="7" t="s">
        <v>412</v>
      </c>
      <c r="C143" s="167">
        <v>177895</v>
      </c>
      <c r="D143" s="254">
        <v>165087</v>
      </c>
      <c r="E143" s="103">
        <v>165087</v>
      </c>
    </row>
    <row r="144" spans="1:5" s="52" customFormat="1" ht="15" customHeight="1">
      <c r="A144" s="195" t="s">
        <v>196</v>
      </c>
      <c r="B144" s="7" t="s">
        <v>362</v>
      </c>
      <c r="C144" s="167"/>
      <c r="D144" s="254"/>
      <c r="E144" s="103"/>
    </row>
    <row r="145" spans="1:5" s="52" customFormat="1" ht="15" customHeight="1" thickBot="1">
      <c r="A145" s="204" t="s">
        <v>197</v>
      </c>
      <c r="B145" s="5" t="s">
        <v>294</v>
      </c>
      <c r="C145" s="167"/>
      <c r="D145" s="254"/>
      <c r="E145" s="103"/>
    </row>
    <row r="146" spans="1:5" s="52" customFormat="1" ht="15" customHeight="1" thickBot="1">
      <c r="A146" s="25" t="s">
        <v>12</v>
      </c>
      <c r="B146" s="56" t="s">
        <v>363</v>
      </c>
      <c r="C146" s="245">
        <f>+C147+C148+C149+C150+C151</f>
        <v>0</v>
      </c>
      <c r="D146" s="257">
        <f>+D147+D148+D149+D150+D151</f>
        <v>0</v>
      </c>
      <c r="E146" s="239">
        <f>+E147+E148+E149+E150+E151</f>
        <v>0</v>
      </c>
    </row>
    <row r="147" spans="1:5" s="52" customFormat="1" ht="15" customHeight="1">
      <c r="A147" s="195" t="s">
        <v>61</v>
      </c>
      <c r="B147" s="7" t="s">
        <v>358</v>
      </c>
      <c r="C147" s="167"/>
      <c r="D147" s="254"/>
      <c r="E147" s="103"/>
    </row>
    <row r="148" spans="1:5" s="52" customFormat="1" ht="15" customHeight="1">
      <c r="A148" s="195" t="s">
        <v>62</v>
      </c>
      <c r="B148" s="7" t="s">
        <v>365</v>
      </c>
      <c r="C148" s="167"/>
      <c r="D148" s="254"/>
      <c r="E148" s="103"/>
    </row>
    <row r="149" spans="1:5" s="52" customFormat="1" ht="15" customHeight="1">
      <c r="A149" s="195" t="s">
        <v>207</v>
      </c>
      <c r="B149" s="7" t="s">
        <v>360</v>
      </c>
      <c r="C149" s="167"/>
      <c r="D149" s="254"/>
      <c r="E149" s="103"/>
    </row>
    <row r="150" spans="1:5" s="52" customFormat="1" ht="15" customHeight="1">
      <c r="A150" s="195" t="s">
        <v>208</v>
      </c>
      <c r="B150" s="7" t="s">
        <v>402</v>
      </c>
      <c r="C150" s="167"/>
      <c r="D150" s="254"/>
      <c r="E150" s="103"/>
    </row>
    <row r="151" spans="1:5" ht="15" customHeight="1" thickBot="1">
      <c r="A151" s="204" t="s">
        <v>364</v>
      </c>
      <c r="B151" s="5" t="s">
        <v>367</v>
      </c>
      <c r="C151" s="169"/>
      <c r="D151" s="255"/>
      <c r="E151" s="105"/>
    </row>
    <row r="152" spans="1:5" ht="15" customHeight="1" thickBot="1">
      <c r="A152" s="234" t="s">
        <v>13</v>
      </c>
      <c r="B152" s="56" t="s">
        <v>368</v>
      </c>
      <c r="C152" s="245"/>
      <c r="D152" s="257"/>
      <c r="E152" s="239"/>
    </row>
    <row r="153" spans="1:5" ht="15" customHeight="1" thickBot="1">
      <c r="A153" s="234" t="s">
        <v>14</v>
      </c>
      <c r="B153" s="56" t="s">
        <v>369</v>
      </c>
      <c r="C153" s="245"/>
      <c r="D153" s="257"/>
      <c r="E153" s="239"/>
    </row>
    <row r="154" spans="1:5" ht="15" customHeight="1" thickBot="1">
      <c r="A154" s="25" t="s">
        <v>15</v>
      </c>
      <c r="B154" s="56" t="s">
        <v>371</v>
      </c>
      <c r="C154" s="247">
        <f>+C129+C133+C140+C146+C152+C153</f>
        <v>194401</v>
      </c>
      <c r="D154" s="259">
        <f>+D129+D133+D140+D146+D152+D153</f>
        <v>181617</v>
      </c>
      <c r="E154" s="241">
        <f>+E129+E133+E140+E146+E152+E153</f>
        <v>181617</v>
      </c>
    </row>
    <row r="155" spans="1:5" ht="15" customHeight="1" thickBot="1">
      <c r="A155" s="206" t="s">
        <v>16</v>
      </c>
      <c r="B155" s="153" t="s">
        <v>370</v>
      </c>
      <c r="C155" s="247">
        <f>+C128+C154</f>
        <v>2158572</v>
      </c>
      <c r="D155" s="259">
        <f>+D128+D154</f>
        <v>2231271</v>
      </c>
      <c r="E155" s="241">
        <f>+E128+E154</f>
        <v>1720213</v>
      </c>
    </row>
    <row r="156" spans="1:5" ht="15" customHeight="1" thickBot="1">
      <c r="A156" s="156"/>
      <c r="B156" s="157"/>
      <c r="C156" s="590">
        <f>C90-C155</f>
        <v>0</v>
      </c>
      <c r="D156" s="590">
        <f>D90-D155</f>
        <v>0</v>
      </c>
      <c r="E156" s="158"/>
    </row>
    <row r="157" spans="1:5" ht="15" customHeight="1" thickBot="1">
      <c r="A157" s="93" t="s">
        <v>481</v>
      </c>
      <c r="B157" s="94"/>
      <c r="C157" s="291"/>
      <c r="D157" s="291"/>
      <c r="E157" s="290"/>
    </row>
    <row r="158" spans="1:5" ht="15" customHeight="1" thickBot="1">
      <c r="A158" s="93" t="s">
        <v>482</v>
      </c>
      <c r="B158" s="94"/>
      <c r="C158" s="291"/>
      <c r="D158" s="291"/>
      <c r="E158" s="290"/>
    </row>
    <row r="159" ht="15" customHeight="1"/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fitToHeight="3" fitToWidth="1" horizontalDpi="600" verticalDpi="600" orientation="portrait" paperSize="9" scale="76" r:id="rId1"/>
  <headerFooter alignWithMargins="0">
    <oddFooter>&amp;C&amp;P</oddFooter>
  </headerFooter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2">
      <selection activeCell="M34" sqref="M34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972" t="str">
        <f>CONCATENATE("6.2. melléklet ",Z_ALAPADATOK!A7," ",Z_ALAPADATOK!B7," ",Z_ALAPADATOK!C7," ",Z_ALAPADATOK!D7," ",Z_ALAPADATOK!E7," ",Z_ALAPADATOK!F7," ",Z_ALAPADATOK!G7," ",Z_ALAPADATOK!H7)</f>
        <v>6.2. melléklet a … / 2020. ( … ) önkormányzati rendelethez</v>
      </c>
      <c r="C1" s="973"/>
      <c r="D1" s="973"/>
      <c r="E1" s="973"/>
    </row>
    <row r="2" spans="1:5" s="213" customFormat="1" ht="24.75" thickBot="1">
      <c r="A2" s="324" t="s">
        <v>449</v>
      </c>
      <c r="B2" s="974" t="s">
        <v>759</v>
      </c>
      <c r="C2" s="975"/>
      <c r="D2" s="976"/>
      <c r="E2" s="325" t="s">
        <v>42</v>
      </c>
    </row>
    <row r="3" spans="1:5" s="213" customFormat="1" ht="24.75" thickBot="1">
      <c r="A3" s="324" t="s">
        <v>135</v>
      </c>
      <c r="B3" s="974" t="s">
        <v>302</v>
      </c>
      <c r="C3" s="975"/>
      <c r="D3" s="976"/>
      <c r="E3" s="325" t="s">
        <v>38</v>
      </c>
    </row>
    <row r="4" spans="1:5" s="214" customFormat="1" ht="15.75" customHeight="1" thickBot="1">
      <c r="A4" s="326"/>
      <c r="B4" s="326"/>
      <c r="C4" s="327"/>
      <c r="D4" s="328"/>
      <c r="E4" s="335" t="str">
        <f>'Z_4.sz.mell.'!G4</f>
        <v>e  Forintban!</v>
      </c>
    </row>
    <row r="5" spans="1:5" ht="24.75" thickBot="1">
      <c r="A5" s="329" t="s">
        <v>136</v>
      </c>
      <c r="B5" s="330" t="s">
        <v>480</v>
      </c>
      <c r="C5" s="330" t="s">
        <v>445</v>
      </c>
      <c r="D5" s="331" t="s">
        <v>446</v>
      </c>
      <c r="E5" s="314" t="str">
        <f>+CONCATENATE("Teljesítés",CHAR(10),LEFT(Z_ÖSSZEFÜGGÉSEK!A6,4),". XII. 31.")</f>
        <v>Teljesítés
2019. XII. 31.</v>
      </c>
    </row>
    <row r="6" spans="1:5" s="215" customFormat="1" ht="12.75" customHeight="1" thickBot="1">
      <c r="A6" s="360" t="s">
        <v>382</v>
      </c>
      <c r="B6" s="361" t="s">
        <v>383</v>
      </c>
      <c r="C6" s="361" t="s">
        <v>384</v>
      </c>
      <c r="D6" s="362" t="s">
        <v>386</v>
      </c>
      <c r="E6" s="363" t="s">
        <v>385</v>
      </c>
    </row>
    <row r="7" spans="1:5" s="215" customFormat="1" ht="15.75" customHeight="1" thickBot="1">
      <c r="A7" s="968" t="s">
        <v>39</v>
      </c>
      <c r="B7" s="969"/>
      <c r="C7" s="969"/>
      <c r="D7" s="969"/>
      <c r="E7" s="970"/>
    </row>
    <row r="8" spans="1:5" s="152" customFormat="1" ht="12" customHeight="1" thickBot="1">
      <c r="A8" s="74" t="s">
        <v>6</v>
      </c>
      <c r="B8" s="83" t="s">
        <v>403</v>
      </c>
      <c r="C8" s="119">
        <f>SUM(C9:C19)</f>
        <v>2359</v>
      </c>
      <c r="D8" s="119">
        <f>SUM(D9:D19)</f>
        <v>2527</v>
      </c>
      <c r="E8" s="147">
        <f>SUM(E9:E19)</f>
        <v>2844</v>
      </c>
    </row>
    <row r="9" spans="1:5" s="152" customFormat="1" ht="12" customHeight="1">
      <c r="A9" s="208" t="s">
        <v>63</v>
      </c>
      <c r="B9" s="8" t="s">
        <v>184</v>
      </c>
      <c r="C9" s="691">
        <v>5</v>
      </c>
      <c r="D9" s="274">
        <v>5</v>
      </c>
      <c r="E9" s="294"/>
    </row>
    <row r="10" spans="1:5" s="152" customFormat="1" ht="12" customHeight="1">
      <c r="A10" s="209" t="s">
        <v>64</v>
      </c>
      <c r="B10" s="6" t="s">
        <v>185</v>
      </c>
      <c r="C10" s="692">
        <v>245</v>
      </c>
      <c r="D10" s="116">
        <v>345</v>
      </c>
      <c r="E10" s="266">
        <v>345</v>
      </c>
    </row>
    <row r="11" spans="1:5" s="152" customFormat="1" ht="12" customHeight="1">
      <c r="A11" s="209" t="s">
        <v>65</v>
      </c>
      <c r="B11" s="6" t="s">
        <v>186</v>
      </c>
      <c r="C11" s="692">
        <v>1600</v>
      </c>
      <c r="D11" s="116">
        <v>1650</v>
      </c>
      <c r="E11" s="266">
        <v>1650</v>
      </c>
    </row>
    <row r="12" spans="1:5" s="152" customFormat="1" ht="12" customHeight="1">
      <c r="A12" s="209" t="s">
        <v>66</v>
      </c>
      <c r="B12" s="6" t="s">
        <v>187</v>
      </c>
      <c r="C12" s="692"/>
      <c r="D12" s="116">
        <v>0</v>
      </c>
      <c r="E12" s="266"/>
    </row>
    <row r="13" spans="1:5" s="152" customFormat="1" ht="12" customHeight="1">
      <c r="A13" s="209" t="s">
        <v>97</v>
      </c>
      <c r="B13" s="6" t="s">
        <v>188</v>
      </c>
      <c r="C13" s="692"/>
      <c r="D13" s="116">
        <v>0</v>
      </c>
      <c r="E13" s="266"/>
    </row>
    <row r="14" spans="1:5" s="152" customFormat="1" ht="12" customHeight="1">
      <c r="A14" s="209" t="s">
        <v>67</v>
      </c>
      <c r="B14" s="6" t="s">
        <v>303</v>
      </c>
      <c r="C14" s="692">
        <v>498</v>
      </c>
      <c r="D14" s="116">
        <v>516</v>
      </c>
      <c r="E14" s="266">
        <v>516</v>
      </c>
    </row>
    <row r="15" spans="1:5" s="152" customFormat="1" ht="12" customHeight="1">
      <c r="A15" s="209" t="s">
        <v>68</v>
      </c>
      <c r="B15" s="5" t="s">
        <v>304</v>
      </c>
      <c r="C15" s="692"/>
      <c r="D15" s="116">
        <v>0</v>
      </c>
      <c r="E15" s="266">
        <v>328</v>
      </c>
    </row>
    <row r="16" spans="1:5" s="152" customFormat="1" ht="12" customHeight="1">
      <c r="A16" s="209" t="s">
        <v>76</v>
      </c>
      <c r="B16" s="6" t="s">
        <v>191</v>
      </c>
      <c r="C16" s="692">
        <v>1</v>
      </c>
      <c r="D16" s="272">
        <v>1</v>
      </c>
      <c r="E16" s="270"/>
    </row>
    <row r="17" spans="1:5" s="216" customFormat="1" ht="12" customHeight="1">
      <c r="A17" s="209" t="s">
        <v>77</v>
      </c>
      <c r="B17" s="6" t="s">
        <v>192</v>
      </c>
      <c r="C17" s="692"/>
      <c r="D17" s="116">
        <v>0</v>
      </c>
      <c r="E17" s="266"/>
    </row>
    <row r="18" spans="1:5" s="216" customFormat="1" ht="12" customHeight="1">
      <c r="A18" s="209" t="s">
        <v>78</v>
      </c>
      <c r="B18" s="6" t="s">
        <v>334</v>
      </c>
      <c r="C18" s="692"/>
      <c r="D18" s="118">
        <v>0</v>
      </c>
      <c r="E18" s="267"/>
    </row>
    <row r="19" spans="1:5" s="216" customFormat="1" ht="12" customHeight="1" thickBot="1">
      <c r="A19" s="209" t="s">
        <v>79</v>
      </c>
      <c r="B19" s="5" t="s">
        <v>193</v>
      </c>
      <c r="C19" s="693">
        <v>10</v>
      </c>
      <c r="D19" s="118">
        <v>10</v>
      </c>
      <c r="E19" s="267">
        <v>5</v>
      </c>
    </row>
    <row r="20" spans="1:5" s="152" customFormat="1" ht="12" customHeight="1" thickBot="1">
      <c r="A20" s="74" t="s">
        <v>7</v>
      </c>
      <c r="B20" s="83" t="s">
        <v>305</v>
      </c>
      <c r="C20" s="119">
        <f>SUM(C21:C23)</f>
        <v>23503</v>
      </c>
      <c r="D20" s="119">
        <f>SUM(D21:D23)</f>
        <v>30594</v>
      </c>
      <c r="E20" s="147">
        <f>SUM(E21:E23)</f>
        <v>30592</v>
      </c>
    </row>
    <row r="21" spans="1:5" s="216" customFormat="1" ht="12" customHeight="1">
      <c r="A21" s="209" t="s">
        <v>69</v>
      </c>
      <c r="B21" s="7" t="s">
        <v>168</v>
      </c>
      <c r="C21" s="116"/>
      <c r="D21" s="116"/>
      <c r="E21" s="266"/>
    </row>
    <row r="22" spans="1:5" s="216" customFormat="1" ht="12" customHeight="1">
      <c r="A22" s="209" t="s">
        <v>70</v>
      </c>
      <c r="B22" s="6" t="s">
        <v>306</v>
      </c>
      <c r="C22" s="116"/>
      <c r="D22" s="116"/>
      <c r="E22" s="266"/>
    </row>
    <row r="23" spans="1:5" s="216" customFormat="1" ht="12" customHeight="1">
      <c r="A23" s="209" t="s">
        <v>71</v>
      </c>
      <c r="B23" s="6" t="s">
        <v>307</v>
      </c>
      <c r="C23" s="116">
        <v>23503</v>
      </c>
      <c r="D23" s="116">
        <v>30594</v>
      </c>
      <c r="E23" s="266">
        <v>30592</v>
      </c>
    </row>
    <row r="24" spans="1:5" s="216" customFormat="1" ht="12" customHeight="1" thickBot="1">
      <c r="A24" s="209" t="s">
        <v>72</v>
      </c>
      <c r="B24" s="6" t="s">
        <v>404</v>
      </c>
      <c r="C24" s="116"/>
      <c r="D24" s="116"/>
      <c r="E24" s="266"/>
    </row>
    <row r="25" spans="1:5" s="216" customFormat="1" ht="12" customHeight="1" thickBot="1">
      <c r="A25" s="78" t="s">
        <v>8</v>
      </c>
      <c r="B25" s="56" t="s">
        <v>113</v>
      </c>
      <c r="C25" s="296">
        <v>5</v>
      </c>
      <c r="D25" s="296">
        <v>5</v>
      </c>
      <c r="E25" s="146">
        <v>5</v>
      </c>
    </row>
    <row r="26" spans="1:5" s="216" customFormat="1" ht="12" customHeight="1" thickBot="1">
      <c r="A26" s="78" t="s">
        <v>9</v>
      </c>
      <c r="B26" s="56" t="s">
        <v>405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6" customFormat="1" ht="12" customHeight="1">
      <c r="A27" s="210" t="s">
        <v>177</v>
      </c>
      <c r="B27" s="211" t="s">
        <v>173</v>
      </c>
      <c r="C27" s="273"/>
      <c r="D27" s="273"/>
      <c r="E27" s="271"/>
    </row>
    <row r="28" spans="1:5" s="216" customFormat="1" ht="12" customHeight="1">
      <c r="A28" s="210" t="s">
        <v>178</v>
      </c>
      <c r="B28" s="211" t="s">
        <v>306</v>
      </c>
      <c r="C28" s="116"/>
      <c r="D28" s="116"/>
      <c r="E28" s="266"/>
    </row>
    <row r="29" spans="1:5" s="216" customFormat="1" ht="12" customHeight="1">
      <c r="A29" s="210" t="s">
        <v>179</v>
      </c>
      <c r="B29" s="212" t="s">
        <v>309</v>
      </c>
      <c r="C29" s="116"/>
      <c r="D29" s="116"/>
      <c r="E29" s="266"/>
    </row>
    <row r="30" spans="1:5" s="216" customFormat="1" ht="12" customHeight="1" thickBot="1">
      <c r="A30" s="209" t="s">
        <v>180</v>
      </c>
      <c r="B30" s="61" t="s">
        <v>406</v>
      </c>
      <c r="C30" s="47"/>
      <c r="D30" s="47"/>
      <c r="E30" s="295"/>
    </row>
    <row r="31" spans="1:5" s="216" customFormat="1" ht="12" customHeight="1" thickBot="1">
      <c r="A31" s="78" t="s">
        <v>10</v>
      </c>
      <c r="B31" s="56" t="s">
        <v>310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6" customFormat="1" ht="12" customHeight="1">
      <c r="A32" s="210" t="s">
        <v>56</v>
      </c>
      <c r="B32" s="211" t="s">
        <v>198</v>
      </c>
      <c r="C32" s="273"/>
      <c r="D32" s="273"/>
      <c r="E32" s="271"/>
    </row>
    <row r="33" spans="1:5" s="216" customFormat="1" ht="12" customHeight="1">
      <c r="A33" s="210" t="s">
        <v>57</v>
      </c>
      <c r="B33" s="212" t="s">
        <v>199</v>
      </c>
      <c r="C33" s="120"/>
      <c r="D33" s="120"/>
      <c r="E33" s="268"/>
    </row>
    <row r="34" spans="1:5" s="216" customFormat="1" ht="12" customHeight="1" thickBot="1">
      <c r="A34" s="209" t="s">
        <v>58</v>
      </c>
      <c r="B34" s="61" t="s">
        <v>200</v>
      </c>
      <c r="C34" s="47"/>
      <c r="D34" s="47"/>
      <c r="E34" s="295"/>
    </row>
    <row r="35" spans="1:5" s="152" customFormat="1" ht="12" customHeight="1" thickBot="1">
      <c r="A35" s="78" t="s">
        <v>11</v>
      </c>
      <c r="B35" s="56" t="s">
        <v>282</v>
      </c>
      <c r="C35" s="296"/>
      <c r="D35" s="296"/>
      <c r="E35" s="146"/>
    </row>
    <row r="36" spans="1:5" s="152" customFormat="1" ht="12" customHeight="1" thickBot="1">
      <c r="A36" s="78" t="s">
        <v>12</v>
      </c>
      <c r="B36" s="56" t="s">
        <v>311</v>
      </c>
      <c r="C36" s="296"/>
      <c r="D36" s="296"/>
      <c r="E36" s="146"/>
    </row>
    <row r="37" spans="1:5" s="152" customFormat="1" ht="12" customHeight="1" thickBot="1">
      <c r="A37" s="74" t="s">
        <v>13</v>
      </c>
      <c r="B37" s="56" t="s">
        <v>312</v>
      </c>
      <c r="C37" s="119">
        <f>+C8+C20+C25+C26+C31+C35+C36</f>
        <v>25867</v>
      </c>
      <c r="D37" s="119">
        <f>+D8+D20+D25+D26+D31+D35+D36</f>
        <v>33126</v>
      </c>
      <c r="E37" s="147">
        <f>+E8+E20+E25+E26+E31+E35+E36</f>
        <v>33441</v>
      </c>
    </row>
    <row r="38" spans="1:5" s="152" customFormat="1" ht="12" customHeight="1" thickBot="1">
      <c r="A38" s="84" t="s">
        <v>14</v>
      </c>
      <c r="B38" s="56" t="s">
        <v>313</v>
      </c>
      <c r="C38" s="119">
        <f>+C39+C40+C41</f>
        <v>161450</v>
      </c>
      <c r="D38" s="119">
        <f>+D39+D40+D41</f>
        <v>146876</v>
      </c>
      <c r="E38" s="147">
        <f>+E39+E40+E41</f>
        <v>146876</v>
      </c>
    </row>
    <row r="39" spans="1:5" s="152" customFormat="1" ht="12" customHeight="1">
      <c r="A39" s="210" t="s">
        <v>314</v>
      </c>
      <c r="B39" s="211" t="s">
        <v>150</v>
      </c>
      <c r="C39" s="273">
        <v>1441</v>
      </c>
      <c r="D39" s="273">
        <v>1419</v>
      </c>
      <c r="E39" s="271">
        <v>1419</v>
      </c>
    </row>
    <row r="40" spans="1:5" s="152" customFormat="1" ht="12" customHeight="1">
      <c r="A40" s="210" t="s">
        <v>315</v>
      </c>
      <c r="B40" s="212" t="s">
        <v>0</v>
      </c>
      <c r="C40" s="120"/>
      <c r="D40" s="120"/>
      <c r="E40" s="268"/>
    </row>
    <row r="41" spans="1:5" s="216" customFormat="1" ht="12" customHeight="1" thickBot="1">
      <c r="A41" s="209" t="s">
        <v>316</v>
      </c>
      <c r="B41" s="61" t="s">
        <v>317</v>
      </c>
      <c r="C41" s="47">
        <v>160009</v>
      </c>
      <c r="D41" s="47">
        <v>145457</v>
      </c>
      <c r="E41" s="295">
        <v>145457</v>
      </c>
    </row>
    <row r="42" spans="1:5" s="216" customFormat="1" ht="15" customHeight="1" thickBot="1">
      <c r="A42" s="84" t="s">
        <v>15</v>
      </c>
      <c r="B42" s="85" t="s">
        <v>318</v>
      </c>
      <c r="C42" s="297">
        <f>+C37+C38</f>
        <v>187317</v>
      </c>
      <c r="D42" s="297">
        <f>+D37+D38</f>
        <v>180002</v>
      </c>
      <c r="E42" s="150">
        <f>+E37+E38</f>
        <v>180317</v>
      </c>
    </row>
    <row r="43" spans="1:3" s="216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5" customFormat="1" ht="16.5" customHeight="1" thickBot="1">
      <c r="A45" s="968" t="s">
        <v>40</v>
      </c>
      <c r="B45" s="969"/>
      <c r="C45" s="969"/>
      <c r="D45" s="969"/>
      <c r="E45" s="970"/>
    </row>
    <row r="46" spans="1:5" s="217" customFormat="1" ht="12" customHeight="1" thickBot="1">
      <c r="A46" s="78" t="s">
        <v>6</v>
      </c>
      <c r="B46" s="56" t="s">
        <v>319</v>
      </c>
      <c r="C46" s="119">
        <f>SUM(C47:C51)</f>
        <v>187063</v>
      </c>
      <c r="D46" s="119">
        <f>SUM(D47:D51)</f>
        <v>179705</v>
      </c>
      <c r="E46" s="147">
        <f>SUM(E47:E51)</f>
        <v>179265</v>
      </c>
    </row>
    <row r="47" spans="1:5" ht="12" customHeight="1">
      <c r="A47" s="209" t="s">
        <v>63</v>
      </c>
      <c r="B47" s="7" t="s">
        <v>35</v>
      </c>
      <c r="C47" s="273">
        <v>127979</v>
      </c>
      <c r="D47" s="273">
        <v>123601</v>
      </c>
      <c r="E47" s="271">
        <v>123601</v>
      </c>
    </row>
    <row r="48" spans="1:5" ht="12" customHeight="1">
      <c r="A48" s="209" t="s">
        <v>64</v>
      </c>
      <c r="B48" s="6" t="s">
        <v>122</v>
      </c>
      <c r="C48" s="46">
        <v>25313</v>
      </c>
      <c r="D48" s="46">
        <v>23748</v>
      </c>
      <c r="E48" s="269">
        <v>23749</v>
      </c>
    </row>
    <row r="49" spans="1:5" ht="12" customHeight="1">
      <c r="A49" s="209" t="s">
        <v>65</v>
      </c>
      <c r="B49" s="6" t="s">
        <v>90</v>
      </c>
      <c r="C49" s="46">
        <v>32330</v>
      </c>
      <c r="D49" s="46">
        <v>29277</v>
      </c>
      <c r="E49" s="269">
        <v>28836</v>
      </c>
    </row>
    <row r="50" spans="1:5" ht="12" customHeight="1">
      <c r="A50" s="209" t="s">
        <v>66</v>
      </c>
      <c r="B50" s="6" t="s">
        <v>123</v>
      </c>
      <c r="C50" s="46"/>
      <c r="D50" s="46">
        <v>0</v>
      </c>
      <c r="E50" s="269"/>
    </row>
    <row r="51" spans="1:5" ht="12" customHeight="1" thickBot="1">
      <c r="A51" s="209" t="s">
        <v>97</v>
      </c>
      <c r="B51" s="6" t="s">
        <v>124</v>
      </c>
      <c r="C51" s="46">
        <v>1441</v>
      </c>
      <c r="D51" s="46">
        <v>3079</v>
      </c>
      <c r="E51" s="269">
        <v>3079</v>
      </c>
    </row>
    <row r="52" spans="1:5" ht="12" customHeight="1" thickBot="1">
      <c r="A52" s="78" t="s">
        <v>7</v>
      </c>
      <c r="B52" s="56" t="s">
        <v>320</v>
      </c>
      <c r="C52" s="119">
        <f>SUM(C53:C55)</f>
        <v>254</v>
      </c>
      <c r="D52" s="119">
        <f>SUM(D53:D55)</f>
        <v>297</v>
      </c>
      <c r="E52" s="147">
        <f>SUM(E53:E55)</f>
        <v>297</v>
      </c>
    </row>
    <row r="53" spans="1:5" s="217" customFormat="1" ht="12" customHeight="1">
      <c r="A53" s="209" t="s">
        <v>69</v>
      </c>
      <c r="B53" s="7" t="s">
        <v>143</v>
      </c>
      <c r="C53" s="273">
        <v>254</v>
      </c>
      <c r="D53" s="273">
        <v>297</v>
      </c>
      <c r="E53" s="271">
        <v>297</v>
      </c>
    </row>
    <row r="54" spans="1:5" ht="12" customHeight="1">
      <c r="A54" s="209" t="s">
        <v>70</v>
      </c>
      <c r="B54" s="6" t="s">
        <v>126</v>
      </c>
      <c r="C54" s="46"/>
      <c r="D54" s="46"/>
      <c r="E54" s="269"/>
    </row>
    <row r="55" spans="1:5" ht="12" customHeight="1">
      <c r="A55" s="209" t="s">
        <v>71</v>
      </c>
      <c r="B55" s="6" t="s">
        <v>41</v>
      </c>
      <c r="C55" s="46"/>
      <c r="D55" s="46"/>
      <c r="E55" s="269"/>
    </row>
    <row r="56" spans="1:5" ht="12" customHeight="1" thickBot="1">
      <c r="A56" s="209" t="s">
        <v>72</v>
      </c>
      <c r="B56" s="6" t="s">
        <v>407</v>
      </c>
      <c r="C56" s="46"/>
      <c r="D56" s="46"/>
      <c r="E56" s="269"/>
    </row>
    <row r="57" spans="1:5" ht="12" customHeight="1" thickBot="1">
      <c r="A57" s="78" t="s">
        <v>8</v>
      </c>
      <c r="B57" s="56" t="s">
        <v>2</v>
      </c>
      <c r="C57" s="296"/>
      <c r="D57" s="296"/>
      <c r="E57" s="146"/>
    </row>
    <row r="58" spans="1:5" ht="15" customHeight="1" thickBot="1">
      <c r="A58" s="78" t="s">
        <v>9</v>
      </c>
      <c r="B58" s="90" t="s">
        <v>411</v>
      </c>
      <c r="C58" s="297">
        <f>+C46+C52+C57</f>
        <v>187317</v>
      </c>
      <c r="D58" s="297">
        <f>+D46+D52+D57</f>
        <v>180002</v>
      </c>
      <c r="E58" s="150">
        <f>+E46+E52+E57</f>
        <v>179562</v>
      </c>
    </row>
    <row r="59" spans="3:5" ht="13.5" thickBot="1">
      <c r="C59" s="590">
        <f>C42-C58</f>
        <v>0</v>
      </c>
      <c r="D59" s="590">
        <f>D42-D58</f>
        <v>0</v>
      </c>
      <c r="E59" s="151"/>
    </row>
    <row r="60" spans="1:5" ht="15" customHeight="1" thickBot="1">
      <c r="A60" s="301" t="s">
        <v>481</v>
      </c>
      <c r="B60" s="302"/>
      <c r="C60" s="291"/>
      <c r="D60" s="291"/>
      <c r="E60" s="290"/>
    </row>
    <row r="61" spans="1:5" ht="14.25" customHeight="1" thickBot="1">
      <c r="A61" s="303" t="s">
        <v>482</v>
      </c>
      <c r="B61" s="304"/>
      <c r="C61" s="291"/>
      <c r="D61" s="291"/>
      <c r="E61" s="29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10" zoomScaleNormal="110" workbookViewId="0" topLeftCell="A34">
      <selection activeCell="N60" sqref="N60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972" t="str">
        <f>CONCATENATE(Z_ALAPADATOK!M13," melléklet ",Z_ALAPADATOK!A7," ",Z_ALAPADATOK!B7," ",Z_ALAPADATOK!C7," ",Z_ALAPADATOK!D7," ",Z_ALAPADATOK!E7," ",Z_ALAPADATOK!F7," ",Z_ALAPADATOK!G7," ",Z_ALAPADATOK!H7)</f>
        <v>6.3. melléklet a … / 2020. ( … ) önkormányzati rendelethez</v>
      </c>
      <c r="C1" s="973"/>
      <c r="D1" s="973"/>
      <c r="E1" s="973"/>
    </row>
    <row r="2" spans="1:5" s="213" customFormat="1" ht="25.5" customHeight="1" thickBot="1">
      <c r="A2" s="324" t="s">
        <v>449</v>
      </c>
      <c r="B2" s="974" t="str">
        <f>CONCATENATE(Z_ALAPADATOK!B13)</f>
        <v>Keresztély Gyula Városi Könyvtár</v>
      </c>
      <c r="C2" s="975"/>
      <c r="D2" s="976"/>
      <c r="E2" s="325" t="s">
        <v>43</v>
      </c>
    </row>
    <row r="3" spans="1:5" s="213" customFormat="1" ht="24.75" thickBot="1">
      <c r="A3" s="324" t="s">
        <v>135</v>
      </c>
      <c r="B3" s="974" t="s">
        <v>302</v>
      </c>
      <c r="C3" s="975"/>
      <c r="D3" s="976"/>
      <c r="E3" s="325" t="s">
        <v>38</v>
      </c>
    </row>
    <row r="4" spans="1:5" s="214" customFormat="1" ht="15.75" customHeight="1" thickBot="1">
      <c r="A4" s="326"/>
      <c r="B4" s="326"/>
      <c r="C4" s="327"/>
      <c r="D4" s="328"/>
      <c r="E4" s="335" t="str">
        <f>'Z_4.sz.mell.'!G4</f>
        <v>e  Forintban!</v>
      </c>
    </row>
    <row r="5" spans="1:5" ht="24.75" thickBot="1">
      <c r="A5" s="329" t="s">
        <v>136</v>
      </c>
      <c r="B5" s="330" t="s">
        <v>480</v>
      </c>
      <c r="C5" s="330" t="s">
        <v>445</v>
      </c>
      <c r="D5" s="331" t="s">
        <v>446</v>
      </c>
      <c r="E5" s="314" t="str">
        <f>+CONCATENATE("Teljesítés",CHAR(10),LEFT(Z_ÖSSZEFÜGGÉSEK!A6,4),". XII. 31.")</f>
        <v>Teljesítés
2019. XII. 31.</v>
      </c>
    </row>
    <row r="6" spans="1:5" s="215" customFormat="1" ht="12.75" customHeight="1" thickBot="1">
      <c r="A6" s="360" t="s">
        <v>382</v>
      </c>
      <c r="B6" s="361" t="s">
        <v>383</v>
      </c>
      <c r="C6" s="361" t="s">
        <v>384</v>
      </c>
      <c r="D6" s="362" t="s">
        <v>386</v>
      </c>
      <c r="E6" s="363" t="s">
        <v>385</v>
      </c>
    </row>
    <row r="7" spans="1:5" s="215" customFormat="1" ht="15.75" customHeight="1" thickBot="1">
      <c r="A7" s="968" t="s">
        <v>39</v>
      </c>
      <c r="B7" s="969"/>
      <c r="C7" s="969"/>
      <c r="D7" s="969"/>
      <c r="E7" s="970"/>
    </row>
    <row r="8" spans="1:5" s="152" customFormat="1" ht="12" customHeight="1" thickBot="1">
      <c r="A8" s="74" t="s">
        <v>6</v>
      </c>
      <c r="B8" s="83" t="s">
        <v>403</v>
      </c>
      <c r="C8" s="119">
        <f>SUM(C9:C19)</f>
        <v>325</v>
      </c>
      <c r="D8" s="119">
        <f>SUM(D9:D19)</f>
        <v>248</v>
      </c>
      <c r="E8" s="121">
        <f>SUM(E9:E19)</f>
        <v>247</v>
      </c>
    </row>
    <row r="9" spans="1:5" s="152" customFormat="1" ht="12" customHeight="1">
      <c r="A9" s="208" t="s">
        <v>63</v>
      </c>
      <c r="B9" s="8" t="s">
        <v>184</v>
      </c>
      <c r="C9" s="274">
        <v>10</v>
      </c>
      <c r="D9" s="274">
        <v>16</v>
      </c>
      <c r="E9" s="294">
        <v>16</v>
      </c>
    </row>
    <row r="10" spans="1:5" s="152" customFormat="1" ht="12" customHeight="1">
      <c r="A10" s="209" t="s">
        <v>64</v>
      </c>
      <c r="B10" s="6" t="s">
        <v>185</v>
      </c>
      <c r="C10" s="116">
        <v>300</v>
      </c>
      <c r="D10" s="261">
        <v>207</v>
      </c>
      <c r="E10" s="266">
        <v>206</v>
      </c>
    </row>
    <row r="11" spans="1:5" s="152" customFormat="1" ht="12" customHeight="1">
      <c r="A11" s="209" t="s">
        <v>65</v>
      </c>
      <c r="B11" s="6" t="s">
        <v>186</v>
      </c>
      <c r="C11" s="116"/>
      <c r="D11" s="261">
        <v>0</v>
      </c>
      <c r="E11" s="266"/>
    </row>
    <row r="12" spans="1:5" s="152" customFormat="1" ht="12" customHeight="1">
      <c r="A12" s="209" t="s">
        <v>66</v>
      </c>
      <c r="B12" s="6" t="s">
        <v>187</v>
      </c>
      <c r="C12" s="116"/>
      <c r="D12" s="261">
        <v>0</v>
      </c>
      <c r="E12" s="266"/>
    </row>
    <row r="13" spans="1:5" s="152" customFormat="1" ht="12" customHeight="1">
      <c r="A13" s="209" t="s">
        <v>97</v>
      </c>
      <c r="B13" s="6" t="s">
        <v>188</v>
      </c>
      <c r="C13" s="116"/>
      <c r="D13" s="261">
        <v>0</v>
      </c>
      <c r="E13" s="266"/>
    </row>
    <row r="14" spans="1:5" s="152" customFormat="1" ht="12" customHeight="1">
      <c r="A14" s="209" t="s">
        <v>67</v>
      </c>
      <c r="B14" s="6" t="s">
        <v>303</v>
      </c>
      <c r="C14" s="116"/>
      <c r="D14" s="261">
        <v>0</v>
      </c>
      <c r="E14" s="266"/>
    </row>
    <row r="15" spans="1:5" s="152" customFormat="1" ht="12" customHeight="1">
      <c r="A15" s="209" t="s">
        <v>68</v>
      </c>
      <c r="B15" s="5" t="s">
        <v>304</v>
      </c>
      <c r="C15" s="116"/>
      <c r="D15" s="261">
        <v>0</v>
      </c>
      <c r="E15" s="266"/>
    </row>
    <row r="16" spans="1:5" s="152" customFormat="1" ht="12" customHeight="1">
      <c r="A16" s="209" t="s">
        <v>76</v>
      </c>
      <c r="B16" s="6" t="s">
        <v>191</v>
      </c>
      <c r="C16" s="272"/>
      <c r="D16" s="299">
        <v>0</v>
      </c>
      <c r="E16" s="270"/>
    </row>
    <row r="17" spans="1:5" s="216" customFormat="1" ht="12" customHeight="1">
      <c r="A17" s="209" t="s">
        <v>77</v>
      </c>
      <c r="B17" s="6" t="s">
        <v>192</v>
      </c>
      <c r="C17" s="116"/>
      <c r="D17" s="261">
        <v>0</v>
      </c>
      <c r="E17" s="266"/>
    </row>
    <row r="18" spans="1:5" s="216" customFormat="1" ht="12" customHeight="1">
      <c r="A18" s="209" t="s">
        <v>78</v>
      </c>
      <c r="B18" s="6" t="s">
        <v>334</v>
      </c>
      <c r="C18" s="118"/>
      <c r="D18" s="262">
        <v>0</v>
      </c>
      <c r="E18" s="267"/>
    </row>
    <row r="19" spans="1:5" s="216" customFormat="1" ht="12" customHeight="1" thickBot="1">
      <c r="A19" s="209" t="s">
        <v>79</v>
      </c>
      <c r="B19" s="5" t="s">
        <v>193</v>
      </c>
      <c r="C19" s="118">
        <v>15</v>
      </c>
      <c r="D19" s="262">
        <v>25</v>
      </c>
      <c r="E19" s="267">
        <v>25</v>
      </c>
    </row>
    <row r="20" spans="1:5" s="152" customFormat="1" ht="21.75" thickBot="1">
      <c r="A20" s="74" t="s">
        <v>7</v>
      </c>
      <c r="B20" s="83" t="s">
        <v>305</v>
      </c>
      <c r="C20" s="119">
        <f>SUM(C21:C23)</f>
        <v>4846</v>
      </c>
      <c r="D20" s="263">
        <f>SUM(D21:D23)</f>
        <v>0</v>
      </c>
      <c r="E20" s="147">
        <f>SUM(E21:E23)</f>
        <v>0</v>
      </c>
    </row>
    <row r="21" spans="1:5" s="216" customFormat="1" ht="12" customHeight="1">
      <c r="A21" s="209" t="s">
        <v>69</v>
      </c>
      <c r="B21" s="7" t="s">
        <v>168</v>
      </c>
      <c r="C21" s="116"/>
      <c r="D21" s="261"/>
      <c r="E21" s="266"/>
    </row>
    <row r="22" spans="1:5" s="216" customFormat="1" ht="12" customHeight="1">
      <c r="A22" s="209" t="s">
        <v>70</v>
      </c>
      <c r="B22" s="6" t="s">
        <v>306</v>
      </c>
      <c r="C22" s="116"/>
      <c r="D22" s="261"/>
      <c r="E22" s="266"/>
    </row>
    <row r="23" spans="1:5" s="216" customFormat="1" ht="12" customHeight="1">
      <c r="A23" s="209" t="s">
        <v>71</v>
      </c>
      <c r="B23" s="6" t="s">
        <v>307</v>
      </c>
      <c r="C23" s="116">
        <v>4846</v>
      </c>
      <c r="D23" s="261">
        <v>0</v>
      </c>
      <c r="E23" s="266"/>
    </row>
    <row r="24" spans="1:5" s="216" customFormat="1" ht="12" customHeight="1" thickBot="1">
      <c r="A24" s="209" t="s">
        <v>72</v>
      </c>
      <c r="B24" s="6" t="s">
        <v>408</v>
      </c>
      <c r="C24" s="116"/>
      <c r="D24" s="261"/>
      <c r="E24" s="266"/>
    </row>
    <row r="25" spans="1:5" s="216" customFormat="1" ht="12" customHeight="1" thickBot="1">
      <c r="A25" s="78" t="s">
        <v>8</v>
      </c>
      <c r="B25" s="56" t="s">
        <v>113</v>
      </c>
      <c r="C25" s="296"/>
      <c r="D25" s="298"/>
      <c r="E25" s="146"/>
    </row>
    <row r="26" spans="1:5" s="216" customFormat="1" ht="21.75" thickBot="1">
      <c r="A26" s="78" t="s">
        <v>9</v>
      </c>
      <c r="B26" s="56" t="s">
        <v>308</v>
      </c>
      <c r="C26" s="119">
        <f>+C27+C28</f>
        <v>2150</v>
      </c>
      <c r="D26" s="263">
        <f>+D27+D28</f>
        <v>566</v>
      </c>
      <c r="E26" s="147">
        <f>+E27+E28</f>
        <v>0</v>
      </c>
    </row>
    <row r="27" spans="1:5" s="216" customFormat="1" ht="12" customHeight="1">
      <c r="A27" s="210" t="s">
        <v>177</v>
      </c>
      <c r="B27" s="211" t="s">
        <v>306</v>
      </c>
      <c r="C27" s="273"/>
      <c r="D27" s="58"/>
      <c r="E27" s="271"/>
    </row>
    <row r="28" spans="1:5" s="216" customFormat="1" ht="22.5">
      <c r="A28" s="210" t="s">
        <v>178</v>
      </c>
      <c r="B28" s="212" t="s">
        <v>309</v>
      </c>
      <c r="C28" s="120">
        <v>2150</v>
      </c>
      <c r="D28" s="264">
        <v>566</v>
      </c>
      <c r="E28" s="268"/>
    </row>
    <row r="29" spans="1:5" s="216" customFormat="1" ht="12" customHeight="1" thickBot="1">
      <c r="A29" s="209" t="s">
        <v>179</v>
      </c>
      <c r="B29" s="61" t="s">
        <v>409</v>
      </c>
      <c r="C29" s="47"/>
      <c r="D29" s="300"/>
      <c r="E29" s="295"/>
    </row>
    <row r="30" spans="1:5" s="216" customFormat="1" ht="12" customHeight="1" thickBot="1">
      <c r="A30" s="78" t="s">
        <v>10</v>
      </c>
      <c r="B30" s="56" t="s">
        <v>310</v>
      </c>
      <c r="C30" s="119">
        <f>+C31+C32+C33</f>
        <v>0</v>
      </c>
      <c r="D30" s="263">
        <f>+D31+D32+D33</f>
        <v>0</v>
      </c>
      <c r="E30" s="147">
        <f>+E31+E32+E33</f>
        <v>0</v>
      </c>
    </row>
    <row r="31" spans="1:5" s="216" customFormat="1" ht="12" customHeight="1">
      <c r="A31" s="210" t="s">
        <v>56</v>
      </c>
      <c r="B31" s="211" t="s">
        <v>198</v>
      </c>
      <c r="C31" s="273"/>
      <c r="D31" s="58"/>
      <c r="E31" s="271"/>
    </row>
    <row r="32" spans="1:5" s="216" customFormat="1" ht="12" customHeight="1">
      <c r="A32" s="210" t="s">
        <v>57</v>
      </c>
      <c r="B32" s="212" t="s">
        <v>199</v>
      </c>
      <c r="C32" s="120"/>
      <c r="D32" s="264"/>
      <c r="E32" s="268"/>
    </row>
    <row r="33" spans="1:5" s="216" customFormat="1" ht="12" customHeight="1" thickBot="1">
      <c r="A33" s="209" t="s">
        <v>58</v>
      </c>
      <c r="B33" s="61" t="s">
        <v>200</v>
      </c>
      <c r="C33" s="47"/>
      <c r="D33" s="300"/>
      <c r="E33" s="295"/>
    </row>
    <row r="34" spans="1:5" s="152" customFormat="1" ht="12" customHeight="1" thickBot="1">
      <c r="A34" s="78" t="s">
        <v>11</v>
      </c>
      <c r="B34" s="56" t="s">
        <v>282</v>
      </c>
      <c r="C34" s="296"/>
      <c r="D34" s="298"/>
      <c r="E34" s="146"/>
    </row>
    <row r="35" spans="1:5" s="152" customFormat="1" ht="12" customHeight="1" thickBot="1">
      <c r="A35" s="78" t="s">
        <v>12</v>
      </c>
      <c r="B35" s="56" t="s">
        <v>311</v>
      </c>
      <c r="C35" s="296"/>
      <c r="D35" s="298"/>
      <c r="E35" s="146"/>
    </row>
    <row r="36" spans="1:5" s="152" customFormat="1" ht="12" customHeight="1" thickBot="1">
      <c r="A36" s="74" t="s">
        <v>13</v>
      </c>
      <c r="B36" s="56" t="s">
        <v>410</v>
      </c>
      <c r="C36" s="119">
        <f>+C8+C20+C25+C26+C30+C34+C35</f>
        <v>7321</v>
      </c>
      <c r="D36" s="263">
        <f>+D8+D20+D25+D26+D30+D34+D35</f>
        <v>814</v>
      </c>
      <c r="E36" s="147">
        <f>+E8+E20+E25+E26+E30+E34+E35</f>
        <v>247</v>
      </c>
    </row>
    <row r="37" spans="1:5" s="152" customFormat="1" ht="12" customHeight="1" thickBot="1">
      <c r="A37" s="84" t="s">
        <v>14</v>
      </c>
      <c r="B37" s="56" t="s">
        <v>313</v>
      </c>
      <c r="C37" s="119">
        <f>+C38+C39+C40</f>
        <v>28898</v>
      </c>
      <c r="D37" s="263">
        <f>+D38+D39+D40</f>
        <v>30642</v>
      </c>
      <c r="E37" s="147">
        <f>+E38+E39+E40</f>
        <v>30642</v>
      </c>
    </row>
    <row r="38" spans="1:5" s="152" customFormat="1" ht="12" customHeight="1">
      <c r="A38" s="210" t="s">
        <v>314</v>
      </c>
      <c r="B38" s="211" t="s">
        <v>150</v>
      </c>
      <c r="C38" s="273">
        <v>11012</v>
      </c>
      <c r="D38" s="58">
        <v>11012</v>
      </c>
      <c r="E38" s="271">
        <v>11012</v>
      </c>
    </row>
    <row r="39" spans="1:5" s="152" customFormat="1" ht="12" customHeight="1">
      <c r="A39" s="210" t="s">
        <v>315</v>
      </c>
      <c r="B39" s="212" t="s">
        <v>0</v>
      </c>
      <c r="C39" s="120"/>
      <c r="D39" s="264"/>
      <c r="E39" s="268">
        <v>19630</v>
      </c>
    </row>
    <row r="40" spans="1:5" s="216" customFormat="1" ht="12" customHeight="1" thickBot="1">
      <c r="A40" s="209" t="s">
        <v>316</v>
      </c>
      <c r="B40" s="61" t="s">
        <v>317</v>
      </c>
      <c r="C40" s="47">
        <v>17886</v>
      </c>
      <c r="D40" s="300">
        <v>19630</v>
      </c>
      <c r="E40" s="295"/>
    </row>
    <row r="41" spans="1:5" s="216" customFormat="1" ht="15" customHeight="1" thickBot="1">
      <c r="A41" s="84" t="s">
        <v>15</v>
      </c>
      <c r="B41" s="85" t="s">
        <v>318</v>
      </c>
      <c r="C41" s="297">
        <f>+C36+C37</f>
        <v>36219</v>
      </c>
      <c r="D41" s="293">
        <f>+D36+D37</f>
        <v>31456</v>
      </c>
      <c r="E41" s="150">
        <f>+E36+E37</f>
        <v>30889</v>
      </c>
    </row>
    <row r="42" spans="1:3" s="216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5" customFormat="1" ht="16.5" customHeight="1" thickBot="1">
      <c r="A44" s="968" t="s">
        <v>40</v>
      </c>
      <c r="B44" s="969"/>
      <c r="C44" s="969"/>
      <c r="D44" s="969"/>
      <c r="E44" s="970"/>
    </row>
    <row r="45" spans="1:5" s="217" customFormat="1" ht="12" customHeight="1" thickBot="1">
      <c r="A45" s="78" t="s">
        <v>6</v>
      </c>
      <c r="B45" s="56" t="s">
        <v>319</v>
      </c>
      <c r="C45" s="119">
        <f>SUM(C46:C50)</f>
        <v>33769</v>
      </c>
      <c r="D45" s="263">
        <f>SUM(D46:D50)</f>
        <v>29117</v>
      </c>
      <c r="E45" s="147">
        <f>SUM(E46:E50)</f>
        <v>28491</v>
      </c>
    </row>
    <row r="46" spans="1:5" ht="12" customHeight="1">
      <c r="A46" s="209" t="s">
        <v>63</v>
      </c>
      <c r="B46" s="7" t="s">
        <v>35</v>
      </c>
      <c r="C46" s="273">
        <v>11258</v>
      </c>
      <c r="D46" s="58">
        <v>10969</v>
      </c>
      <c r="E46" s="271">
        <v>10959</v>
      </c>
    </row>
    <row r="47" spans="1:5" ht="12" customHeight="1">
      <c r="A47" s="209" t="s">
        <v>64</v>
      </c>
      <c r="B47" s="6" t="s">
        <v>122</v>
      </c>
      <c r="C47" s="46">
        <v>2235</v>
      </c>
      <c r="D47" s="59">
        <v>2046</v>
      </c>
      <c r="E47" s="269">
        <v>2045</v>
      </c>
    </row>
    <row r="48" spans="1:5" ht="12" customHeight="1">
      <c r="A48" s="209" t="s">
        <v>65</v>
      </c>
      <c r="B48" s="6" t="s">
        <v>90</v>
      </c>
      <c r="C48" s="46">
        <v>20276</v>
      </c>
      <c r="D48" s="59">
        <v>16102</v>
      </c>
      <c r="E48" s="269">
        <v>15487</v>
      </c>
    </row>
    <row r="49" spans="1:5" ht="12" customHeight="1">
      <c r="A49" s="209" t="s">
        <v>66</v>
      </c>
      <c r="B49" s="6" t="s">
        <v>123</v>
      </c>
      <c r="C49" s="46"/>
      <c r="D49" s="59">
        <v>0</v>
      </c>
      <c r="E49" s="269"/>
    </row>
    <row r="50" spans="1:5" ht="12" customHeight="1" thickBot="1">
      <c r="A50" s="209" t="s">
        <v>97</v>
      </c>
      <c r="B50" s="6" t="s">
        <v>124</v>
      </c>
      <c r="C50" s="46"/>
      <c r="D50" s="59"/>
      <c r="E50" s="269"/>
    </row>
    <row r="51" spans="1:5" ht="12" customHeight="1" thickBot="1">
      <c r="A51" s="78" t="s">
        <v>7</v>
      </c>
      <c r="B51" s="56" t="s">
        <v>320</v>
      </c>
      <c r="C51" s="119">
        <f>SUM(C52:C54)</f>
        <v>2450</v>
      </c>
      <c r="D51" s="263">
        <f>SUM(D52:D54)</f>
        <v>2339</v>
      </c>
      <c r="E51" s="147">
        <f>SUM(E52:E54)</f>
        <v>2339</v>
      </c>
    </row>
    <row r="52" spans="1:5" s="217" customFormat="1" ht="12" customHeight="1">
      <c r="A52" s="209" t="s">
        <v>69</v>
      </c>
      <c r="B52" s="7" t="s">
        <v>143</v>
      </c>
      <c r="C52" s="273">
        <v>2450</v>
      </c>
      <c r="D52" s="58">
        <v>2339</v>
      </c>
      <c r="E52" s="271">
        <v>2339</v>
      </c>
    </row>
    <row r="53" spans="1:5" ht="12" customHeight="1">
      <c r="A53" s="209" t="s">
        <v>70</v>
      </c>
      <c r="B53" s="6" t="s">
        <v>126</v>
      </c>
      <c r="C53" s="46"/>
      <c r="D53" s="59"/>
      <c r="E53" s="269"/>
    </row>
    <row r="54" spans="1:5" ht="12" customHeight="1">
      <c r="A54" s="209" t="s">
        <v>71</v>
      </c>
      <c r="B54" s="6" t="s">
        <v>41</v>
      </c>
      <c r="C54" s="46"/>
      <c r="D54" s="59"/>
      <c r="E54" s="269"/>
    </row>
    <row r="55" spans="1:5" ht="12" customHeight="1" thickBot="1">
      <c r="A55" s="209" t="s">
        <v>72</v>
      </c>
      <c r="B55" s="6" t="s">
        <v>407</v>
      </c>
      <c r="C55" s="46"/>
      <c r="D55" s="59"/>
      <c r="E55" s="269"/>
    </row>
    <row r="56" spans="1:5" ht="15" customHeight="1" thickBot="1">
      <c r="A56" s="78" t="s">
        <v>8</v>
      </c>
      <c r="B56" s="56" t="s">
        <v>2</v>
      </c>
      <c r="C56" s="296"/>
      <c r="D56" s="298"/>
      <c r="E56" s="146"/>
    </row>
    <row r="57" spans="1:5" ht="13.5" thickBot="1">
      <c r="A57" s="78" t="s">
        <v>9</v>
      </c>
      <c r="B57" s="90" t="s">
        <v>411</v>
      </c>
      <c r="C57" s="297">
        <f>+C45+C51+C56</f>
        <v>36219</v>
      </c>
      <c r="D57" s="293">
        <f>+D45+D51+D56</f>
        <v>31456</v>
      </c>
      <c r="E57" s="150">
        <f>+E45+E51+E56</f>
        <v>30830</v>
      </c>
    </row>
    <row r="58" spans="3:4" ht="15" customHeight="1" thickBot="1">
      <c r="C58" s="590">
        <f>C41-C57</f>
        <v>0</v>
      </c>
      <c r="D58" s="590">
        <f>D41-D57</f>
        <v>0</v>
      </c>
    </row>
    <row r="59" spans="1:5" ht="14.25" customHeight="1" thickBot="1">
      <c r="A59" s="301" t="s">
        <v>481</v>
      </c>
      <c r="B59" s="302"/>
      <c r="C59" s="291"/>
      <c r="D59" s="291"/>
      <c r="E59" s="290"/>
    </row>
    <row r="60" spans="1:5" ht="13.5" thickBot="1">
      <c r="A60" s="303" t="s">
        <v>482</v>
      </c>
      <c r="B60" s="304"/>
      <c r="C60" s="291"/>
      <c r="D60" s="291"/>
      <c r="E60" s="29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zoomScale="120" zoomScaleNormal="120" workbookViewId="0" topLeftCell="A1">
      <selection activeCell="U7" sqref="U7"/>
    </sheetView>
  </sheetViews>
  <sheetFormatPr defaultColWidth="9.00390625" defaultRowHeight="12.75"/>
  <cols>
    <col min="1" max="1" width="7.00390625" style="593" customWidth="1"/>
    <col min="2" max="2" width="32.00390625" style="92" customWidth="1"/>
    <col min="3" max="3" width="12.50390625" style="92" customWidth="1"/>
    <col min="4" max="6" width="11.875" style="92" customWidth="1"/>
    <col min="7" max="7" width="12.875" style="92" customWidth="1"/>
    <col min="8" max="16384" width="9.375" style="92" customWidth="1"/>
  </cols>
  <sheetData>
    <row r="1" spans="1:7" ht="18.75" customHeight="1">
      <c r="A1" s="981" t="str">
        <f>CONCATENATE("7. melléklet ",Z_ALAPADATOK!A7," ",Z_ALAPADATOK!B7," ",Z_ALAPADATOK!C7," ",Z_ALAPADATOK!D7," ",Z_ALAPADATOK!E7," ",Z_ALAPADATOK!F7," ",Z_ALAPADATOK!G7," ",Z_ALAPADATOK!H7)</f>
        <v>7. melléklet a … / 2020. ( … ) önkormányzati rendelethez</v>
      </c>
      <c r="B1" s="982"/>
      <c r="C1" s="982"/>
      <c r="D1" s="982"/>
      <c r="E1" s="982"/>
      <c r="F1" s="982"/>
      <c r="G1" s="982"/>
    </row>
    <row r="3" spans="1:7" ht="15.75">
      <c r="A3" s="979" t="s">
        <v>729</v>
      </c>
      <c r="B3" s="980"/>
      <c r="C3" s="980"/>
      <c r="D3" s="980"/>
      <c r="E3" s="980"/>
      <c r="F3" s="980"/>
      <c r="G3" s="980"/>
    </row>
    <row r="5" ht="14.25" thickBot="1">
      <c r="G5" s="594" t="s">
        <v>733</v>
      </c>
    </row>
    <row r="6" spans="1:7" ht="17.25" customHeight="1" thickBot="1">
      <c r="A6" s="983" t="s">
        <v>4</v>
      </c>
      <c r="B6" s="985" t="s">
        <v>721</v>
      </c>
      <c r="C6" s="985" t="s">
        <v>722</v>
      </c>
      <c r="D6" s="985" t="s">
        <v>723</v>
      </c>
      <c r="E6" s="987" t="s">
        <v>724</v>
      </c>
      <c r="F6" s="987"/>
      <c r="G6" s="988"/>
    </row>
    <row r="7" spans="1:7" s="597" customFormat="1" ht="57.75" customHeight="1" thickBot="1">
      <c r="A7" s="984"/>
      <c r="B7" s="986"/>
      <c r="C7" s="986"/>
      <c r="D7" s="986"/>
      <c r="E7" s="595" t="s">
        <v>725</v>
      </c>
      <c r="F7" s="595" t="s">
        <v>726</v>
      </c>
      <c r="G7" s="596" t="s">
        <v>727</v>
      </c>
    </row>
    <row r="8" spans="1:7" s="217" customFormat="1" ht="15" customHeight="1" thickBot="1">
      <c r="A8" s="74" t="s">
        <v>382</v>
      </c>
      <c r="B8" s="75" t="s">
        <v>383</v>
      </c>
      <c r="C8" s="75" t="s">
        <v>384</v>
      </c>
      <c r="D8" s="75" t="s">
        <v>386</v>
      </c>
      <c r="E8" s="75" t="s">
        <v>728</v>
      </c>
      <c r="F8" s="75" t="s">
        <v>387</v>
      </c>
      <c r="G8" s="76" t="s">
        <v>388</v>
      </c>
    </row>
    <row r="9" spans="1:7" ht="15" customHeight="1">
      <c r="A9" s="598" t="s">
        <v>6</v>
      </c>
      <c r="B9" s="711" t="s">
        <v>758</v>
      </c>
      <c r="C9" s="599">
        <v>510015849</v>
      </c>
      <c r="D9" s="599"/>
      <c r="E9" s="600">
        <f>C9-D9</f>
        <v>510015849</v>
      </c>
      <c r="F9" s="599">
        <v>80340849</v>
      </c>
      <c r="G9" s="601">
        <v>429675000</v>
      </c>
    </row>
    <row r="10" spans="1:7" ht="15" customHeight="1">
      <c r="A10" s="602" t="s">
        <v>7</v>
      </c>
      <c r="B10" s="701" t="s">
        <v>760</v>
      </c>
      <c r="C10" s="21">
        <v>60332</v>
      </c>
      <c r="D10" s="21"/>
      <c r="E10" s="600">
        <f aca="true" t="shared" si="0" ref="E10:E18">C10-D10</f>
        <v>60332</v>
      </c>
      <c r="F10" s="21">
        <v>60332</v>
      </c>
      <c r="G10" s="452"/>
    </row>
    <row r="11" spans="1:7" ht="15" customHeight="1">
      <c r="A11" s="602" t="s">
        <v>8</v>
      </c>
      <c r="B11" s="701" t="s">
        <v>759</v>
      </c>
      <c r="C11" s="21">
        <v>755396</v>
      </c>
      <c r="D11" s="21"/>
      <c r="E11" s="600">
        <f t="shared" si="0"/>
        <v>755396</v>
      </c>
      <c r="F11" s="21">
        <v>755396</v>
      </c>
      <c r="G11" s="452"/>
    </row>
    <row r="12" spans="1:7" ht="15" customHeight="1">
      <c r="A12" s="602" t="s">
        <v>9</v>
      </c>
      <c r="B12" s="603"/>
      <c r="C12" s="21"/>
      <c r="D12" s="21"/>
      <c r="E12" s="600">
        <f t="shared" si="0"/>
        <v>0</v>
      </c>
      <c r="F12" s="21"/>
      <c r="G12" s="452"/>
    </row>
    <row r="13" spans="1:7" ht="15" customHeight="1">
      <c r="A13" s="602" t="s">
        <v>10</v>
      </c>
      <c r="B13" s="603"/>
      <c r="C13" s="21"/>
      <c r="D13" s="21"/>
      <c r="E13" s="600">
        <f t="shared" si="0"/>
        <v>0</v>
      </c>
      <c r="F13" s="21"/>
      <c r="G13" s="452"/>
    </row>
    <row r="14" spans="1:7" ht="15" customHeight="1">
      <c r="A14" s="602" t="s">
        <v>11</v>
      </c>
      <c r="B14" s="603"/>
      <c r="C14" s="21"/>
      <c r="D14" s="21"/>
      <c r="E14" s="600">
        <f t="shared" si="0"/>
        <v>0</v>
      </c>
      <c r="F14" s="21"/>
      <c r="G14" s="452"/>
    </row>
    <row r="15" spans="1:7" ht="15" customHeight="1">
      <c r="A15" s="602" t="s">
        <v>12</v>
      </c>
      <c r="B15" s="603"/>
      <c r="C15" s="21"/>
      <c r="D15" s="21"/>
      <c r="E15" s="600">
        <f t="shared" si="0"/>
        <v>0</v>
      </c>
      <c r="F15" s="21"/>
      <c r="G15" s="452"/>
    </row>
    <row r="16" spans="1:7" ht="15" customHeight="1">
      <c r="A16" s="602" t="s">
        <v>13</v>
      </c>
      <c r="B16" s="603"/>
      <c r="C16" s="21"/>
      <c r="D16" s="21"/>
      <c r="E16" s="600">
        <f t="shared" si="0"/>
        <v>0</v>
      </c>
      <c r="F16" s="21"/>
      <c r="G16" s="452"/>
    </row>
    <row r="17" spans="1:7" ht="15" customHeight="1">
      <c r="A17" s="602" t="s">
        <v>14</v>
      </c>
      <c r="B17" s="603"/>
      <c r="C17" s="21"/>
      <c r="D17" s="21"/>
      <c r="E17" s="600">
        <f t="shared" si="0"/>
        <v>0</v>
      </c>
      <c r="F17" s="21"/>
      <c r="G17" s="452"/>
    </row>
    <row r="18" spans="1:7" ht="15" customHeight="1" thickBot="1">
      <c r="A18" s="602" t="s">
        <v>15</v>
      </c>
      <c r="B18" s="603"/>
      <c r="C18" s="21"/>
      <c r="D18" s="21"/>
      <c r="E18" s="600">
        <f t="shared" si="0"/>
        <v>0</v>
      </c>
      <c r="F18" s="21"/>
      <c r="G18" s="452"/>
    </row>
    <row r="19" spans="1:7" ht="15" customHeight="1" thickBot="1">
      <c r="A19" s="977" t="s">
        <v>37</v>
      </c>
      <c r="B19" s="978"/>
      <c r="C19" s="36">
        <f>SUM(C9:C18)</f>
        <v>510831577</v>
      </c>
      <c r="D19" s="36">
        <f>SUM(D9:D18)</f>
        <v>0</v>
      </c>
      <c r="E19" s="36">
        <f>SUM(E9:E18)</f>
        <v>510831577</v>
      </c>
      <c r="F19" s="36">
        <f>SUM(F9:F18)</f>
        <v>81156577</v>
      </c>
      <c r="G19" s="37">
        <f>SUM(G9:G18)</f>
        <v>429675000</v>
      </c>
    </row>
  </sheetData>
  <sheetProtection/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2"/>
  <sheetViews>
    <sheetView zoomScale="82" zoomScaleNormal="82" zoomScalePageLayoutView="120" workbookViewId="0" topLeftCell="A1">
      <selection activeCell="I18" sqref="I1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7" width="32.875" style="0" customWidth="1"/>
  </cols>
  <sheetData>
    <row r="1" spans="1:17" ht="22.5" customHeight="1">
      <c r="A1" s="989" t="s">
        <v>884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89"/>
      <c r="M1" s="991"/>
      <c r="N1" s="991"/>
      <c r="O1" s="991"/>
      <c r="P1" s="991"/>
      <c r="Q1" s="991"/>
    </row>
    <row r="2" spans="1:17" ht="12.75">
      <c r="A2" s="989" t="s">
        <v>822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</row>
    <row r="3" spans="1:17" ht="75">
      <c r="A3" s="720" t="s">
        <v>823</v>
      </c>
      <c r="B3" s="720" t="s">
        <v>44</v>
      </c>
      <c r="C3" s="720" t="s">
        <v>824</v>
      </c>
      <c r="D3" s="720" t="s">
        <v>825</v>
      </c>
      <c r="E3" s="720" t="s">
        <v>826</v>
      </c>
      <c r="F3" s="720" t="s">
        <v>827</v>
      </c>
      <c r="G3" s="720" t="s">
        <v>828</v>
      </c>
      <c r="H3" s="720" t="s">
        <v>829</v>
      </c>
      <c r="I3" s="720" t="s">
        <v>830</v>
      </c>
      <c r="J3" s="720" t="s">
        <v>831</v>
      </c>
      <c r="K3" s="720" t="s">
        <v>832</v>
      </c>
      <c r="L3" s="720" t="s">
        <v>833</v>
      </c>
      <c r="M3" s="720" t="s">
        <v>834</v>
      </c>
      <c r="N3" s="720" t="s">
        <v>835</v>
      </c>
      <c r="O3" s="720" t="s">
        <v>836</v>
      </c>
      <c r="P3" s="720" t="s">
        <v>837</v>
      </c>
      <c r="Q3" s="720" t="s">
        <v>838</v>
      </c>
    </row>
    <row r="4" spans="1:17" ht="15">
      <c r="A4" s="720">
        <v>1</v>
      </c>
      <c r="B4" s="720">
        <v>2</v>
      </c>
      <c r="C4" s="720">
        <v>3</v>
      </c>
      <c r="D4" s="720">
        <v>4</v>
      </c>
      <c r="E4" s="720">
        <v>5</v>
      </c>
      <c r="F4" s="720">
        <v>6</v>
      </c>
      <c r="G4" s="720">
        <v>7</v>
      </c>
      <c r="H4" s="720">
        <v>8</v>
      </c>
      <c r="I4" s="720">
        <v>9</v>
      </c>
      <c r="J4" s="720">
        <v>10</v>
      </c>
      <c r="K4" s="720">
        <v>11</v>
      </c>
      <c r="L4" s="720">
        <v>12</v>
      </c>
      <c r="M4" s="720">
        <v>13</v>
      </c>
      <c r="N4" s="720">
        <v>14</v>
      </c>
      <c r="O4" s="720">
        <v>15</v>
      </c>
      <c r="P4" s="720">
        <v>16</v>
      </c>
      <c r="Q4" s="720">
        <v>17</v>
      </c>
    </row>
    <row r="5" spans="1:17" ht="38.25">
      <c r="A5" s="717" t="s">
        <v>38</v>
      </c>
      <c r="B5" s="718" t="s">
        <v>839</v>
      </c>
      <c r="C5" s="719">
        <v>132138273</v>
      </c>
      <c r="D5" s="719">
        <v>0</v>
      </c>
      <c r="E5" s="719">
        <v>0</v>
      </c>
      <c r="F5" s="719">
        <v>132138273</v>
      </c>
      <c r="G5" s="719">
        <v>0</v>
      </c>
      <c r="H5" s="719">
        <v>1477292703</v>
      </c>
      <c r="I5" s="719">
        <v>132138273</v>
      </c>
      <c r="J5" s="719">
        <v>0</v>
      </c>
      <c r="K5" s="719">
        <v>0</v>
      </c>
      <c r="L5" s="719">
        <v>3320000</v>
      </c>
      <c r="M5" s="719">
        <v>3320000</v>
      </c>
      <c r="N5" s="719">
        <v>0</v>
      </c>
      <c r="O5" s="719">
        <v>0</v>
      </c>
      <c r="P5" s="719">
        <v>0</v>
      </c>
      <c r="Q5" s="719">
        <v>0</v>
      </c>
    </row>
    <row r="6" spans="1:17" ht="38.25">
      <c r="A6" s="717" t="s">
        <v>42</v>
      </c>
      <c r="B6" s="718" t="s">
        <v>840</v>
      </c>
      <c r="C6" s="719">
        <v>0</v>
      </c>
      <c r="D6" s="719">
        <v>0</v>
      </c>
      <c r="E6" s="719">
        <v>0</v>
      </c>
      <c r="F6" s="719">
        <v>0</v>
      </c>
      <c r="G6" s="719">
        <v>0</v>
      </c>
      <c r="H6" s="719">
        <v>141186290</v>
      </c>
      <c r="I6" s="719">
        <v>0</v>
      </c>
      <c r="J6" s="719">
        <v>0</v>
      </c>
      <c r="K6" s="719">
        <v>0</v>
      </c>
      <c r="L6" s="719">
        <v>0</v>
      </c>
      <c r="M6" s="719">
        <v>0</v>
      </c>
      <c r="N6" s="719">
        <v>0</v>
      </c>
      <c r="O6" s="719">
        <v>0</v>
      </c>
      <c r="P6" s="719">
        <v>0</v>
      </c>
      <c r="Q6" s="719">
        <v>0</v>
      </c>
    </row>
    <row r="7" spans="1:17" ht="25.5">
      <c r="A7" s="717" t="s">
        <v>43</v>
      </c>
      <c r="B7" s="718" t="s">
        <v>841</v>
      </c>
      <c r="C7" s="719">
        <v>0</v>
      </c>
      <c r="D7" s="719">
        <v>0</v>
      </c>
      <c r="E7" s="719">
        <v>0</v>
      </c>
      <c r="F7" s="719">
        <v>0</v>
      </c>
      <c r="G7" s="719">
        <v>0</v>
      </c>
      <c r="H7" s="719">
        <v>182816548</v>
      </c>
      <c r="I7" s="719">
        <v>0</v>
      </c>
      <c r="J7" s="719">
        <v>0</v>
      </c>
      <c r="K7" s="719">
        <v>0</v>
      </c>
      <c r="L7" s="719">
        <v>0</v>
      </c>
      <c r="M7" s="719">
        <v>0</v>
      </c>
      <c r="N7" s="719">
        <v>0</v>
      </c>
      <c r="O7" s="719">
        <v>0</v>
      </c>
      <c r="P7" s="719">
        <v>0</v>
      </c>
      <c r="Q7" s="719">
        <v>0</v>
      </c>
    </row>
    <row r="8" spans="1:17" ht="38.25">
      <c r="A8" s="717" t="s">
        <v>842</v>
      </c>
      <c r="B8" s="718" t="s">
        <v>843</v>
      </c>
      <c r="C8" s="719">
        <v>173418384</v>
      </c>
      <c r="D8" s="719">
        <v>337859</v>
      </c>
      <c r="E8" s="719">
        <v>3053550</v>
      </c>
      <c r="F8" s="719">
        <v>177491803</v>
      </c>
      <c r="G8" s="719">
        <v>682010</v>
      </c>
      <c r="H8" s="719">
        <v>194598610</v>
      </c>
      <c r="I8" s="719">
        <v>177491803</v>
      </c>
      <c r="J8" s="719">
        <v>682010</v>
      </c>
      <c r="K8" s="719">
        <v>0</v>
      </c>
      <c r="L8" s="719">
        <v>3120000</v>
      </c>
      <c r="M8" s="719">
        <v>3120000</v>
      </c>
      <c r="N8" s="719">
        <v>0</v>
      </c>
      <c r="O8" s="719">
        <v>0</v>
      </c>
      <c r="P8" s="719">
        <v>0</v>
      </c>
      <c r="Q8" s="719">
        <v>0</v>
      </c>
    </row>
    <row r="9" spans="1:17" ht="51">
      <c r="A9" s="717" t="s">
        <v>844</v>
      </c>
      <c r="B9" s="718" t="s">
        <v>845</v>
      </c>
      <c r="C9" s="719">
        <v>8840000</v>
      </c>
      <c r="D9" s="719">
        <v>0</v>
      </c>
      <c r="E9" s="719">
        <v>0</v>
      </c>
      <c r="F9" s="719">
        <v>8840000</v>
      </c>
      <c r="G9" s="719">
        <v>0</v>
      </c>
      <c r="H9" s="719">
        <v>30663682</v>
      </c>
      <c r="I9" s="719">
        <v>8840000</v>
      </c>
      <c r="J9" s="719">
        <v>0</v>
      </c>
      <c r="K9" s="719">
        <v>0</v>
      </c>
      <c r="L9" s="719">
        <v>988000</v>
      </c>
      <c r="M9" s="719">
        <v>988000</v>
      </c>
      <c r="N9" s="719">
        <v>0</v>
      </c>
      <c r="O9" s="719">
        <v>0</v>
      </c>
      <c r="P9" s="719">
        <v>0</v>
      </c>
      <c r="Q9" s="719">
        <v>0</v>
      </c>
    </row>
    <row r="10" spans="1:17" ht="51">
      <c r="A10" s="717" t="s">
        <v>846</v>
      </c>
      <c r="B10" s="718" t="s">
        <v>847</v>
      </c>
      <c r="C10" s="719">
        <v>34686440</v>
      </c>
      <c r="D10" s="719">
        <v>0</v>
      </c>
      <c r="E10" s="719">
        <v>1190160</v>
      </c>
      <c r="F10" s="719">
        <v>35602380</v>
      </c>
      <c r="G10" s="719">
        <v>-274220</v>
      </c>
      <c r="H10" s="719">
        <v>89034413</v>
      </c>
      <c r="I10" s="719">
        <v>35602380</v>
      </c>
      <c r="J10" s="719">
        <v>0</v>
      </c>
      <c r="K10" s="719">
        <v>274220</v>
      </c>
      <c r="L10" s="719">
        <v>4685000</v>
      </c>
      <c r="M10" s="719">
        <v>4685000</v>
      </c>
      <c r="N10" s="719">
        <v>0</v>
      </c>
      <c r="O10" s="719">
        <v>0</v>
      </c>
      <c r="P10" s="719">
        <v>0</v>
      </c>
      <c r="Q10" s="719">
        <v>0</v>
      </c>
    </row>
    <row r="11" spans="1:17" ht="25.5">
      <c r="A11" s="717" t="s">
        <v>848</v>
      </c>
      <c r="B11" s="718" t="s">
        <v>849</v>
      </c>
      <c r="C11" s="719">
        <v>68781065</v>
      </c>
      <c r="D11" s="719">
        <v>-476060</v>
      </c>
      <c r="E11" s="719">
        <v>-1539829</v>
      </c>
      <c r="F11" s="719">
        <v>65644176</v>
      </c>
      <c r="G11" s="719">
        <v>-1121000</v>
      </c>
      <c r="H11" s="719">
        <v>77629688</v>
      </c>
      <c r="I11" s="719">
        <v>65644176</v>
      </c>
      <c r="J11" s="719">
        <v>0</v>
      </c>
      <c r="K11" s="719">
        <v>1121000</v>
      </c>
      <c r="L11" s="719">
        <v>3560000</v>
      </c>
      <c r="M11" s="719">
        <v>3560000</v>
      </c>
      <c r="N11" s="719">
        <v>0</v>
      </c>
      <c r="O11" s="719">
        <v>0</v>
      </c>
      <c r="P11" s="719">
        <v>0</v>
      </c>
      <c r="Q11" s="719">
        <v>0</v>
      </c>
    </row>
    <row r="12" spans="1:17" ht="25.5">
      <c r="A12" s="717" t="s">
        <v>850</v>
      </c>
      <c r="B12" s="718" t="s">
        <v>851</v>
      </c>
      <c r="C12" s="719">
        <v>258552</v>
      </c>
      <c r="D12" s="719">
        <v>-3078</v>
      </c>
      <c r="E12" s="719">
        <v>285228</v>
      </c>
      <c r="F12" s="719">
        <v>540702</v>
      </c>
      <c r="G12" s="719">
        <v>0</v>
      </c>
      <c r="H12" s="719">
        <v>566670</v>
      </c>
      <c r="I12" s="719">
        <v>540702</v>
      </c>
      <c r="J12" s="719">
        <v>0</v>
      </c>
      <c r="K12" s="719">
        <v>0</v>
      </c>
      <c r="L12" s="719">
        <v>0</v>
      </c>
      <c r="M12" s="719">
        <v>0</v>
      </c>
      <c r="N12" s="719">
        <v>0</v>
      </c>
      <c r="O12" s="719">
        <v>0</v>
      </c>
      <c r="P12" s="719">
        <v>0</v>
      </c>
      <c r="Q12" s="719">
        <v>0</v>
      </c>
    </row>
    <row r="13" spans="1:17" ht="25.5">
      <c r="A13" s="717" t="s">
        <v>852</v>
      </c>
      <c r="B13" s="718" t="s">
        <v>853</v>
      </c>
      <c r="C13" s="719">
        <v>15752600</v>
      </c>
      <c r="D13" s="719">
        <v>-171000</v>
      </c>
      <c r="E13" s="719">
        <v>0</v>
      </c>
      <c r="F13" s="719">
        <v>15581600</v>
      </c>
      <c r="G13" s="719">
        <v>0</v>
      </c>
      <c r="H13" s="719">
        <v>17865281</v>
      </c>
      <c r="I13" s="719">
        <v>15581600</v>
      </c>
      <c r="J13" s="719">
        <v>0</v>
      </c>
      <c r="K13" s="719">
        <v>0</v>
      </c>
      <c r="L13" s="719">
        <v>0</v>
      </c>
      <c r="M13" s="719">
        <v>0</v>
      </c>
      <c r="N13" s="719">
        <v>0</v>
      </c>
      <c r="O13" s="719">
        <v>0</v>
      </c>
      <c r="P13" s="719">
        <v>0</v>
      </c>
      <c r="Q13" s="719">
        <v>0</v>
      </c>
    </row>
    <row r="14" spans="1:17" ht="12.75">
      <c r="A14" s="714" t="s">
        <v>854</v>
      </c>
      <c r="B14" s="715" t="s">
        <v>855</v>
      </c>
      <c r="C14" s="716">
        <v>433875314</v>
      </c>
      <c r="D14" s="716">
        <v>-312279</v>
      </c>
      <c r="E14" s="716">
        <v>2989109</v>
      </c>
      <c r="F14" s="716">
        <v>435838934</v>
      </c>
      <c r="G14" s="716">
        <v>-713210</v>
      </c>
      <c r="H14" s="716">
        <v>2211653885</v>
      </c>
      <c r="I14" s="716">
        <v>435838934</v>
      </c>
      <c r="J14" s="716">
        <v>682010</v>
      </c>
      <c r="K14" s="716">
        <v>1395220</v>
      </c>
      <c r="L14" s="716">
        <v>15673000</v>
      </c>
      <c r="M14" s="716">
        <v>15673000</v>
      </c>
      <c r="N14" s="716">
        <v>0</v>
      </c>
      <c r="O14" s="716">
        <v>0</v>
      </c>
      <c r="P14" s="716">
        <v>0</v>
      </c>
      <c r="Q14" s="716">
        <v>0</v>
      </c>
    </row>
    <row r="17" spans="1:6" ht="26.25" customHeight="1">
      <c r="A17" s="989" t="s">
        <v>883</v>
      </c>
      <c r="B17" s="990"/>
      <c r="C17" s="990"/>
      <c r="D17" s="990"/>
      <c r="E17" s="990"/>
      <c r="F17" s="990"/>
    </row>
    <row r="18" spans="1:6" ht="75">
      <c r="A18" s="720" t="s">
        <v>823</v>
      </c>
      <c r="B18" s="720" t="s">
        <v>44</v>
      </c>
      <c r="C18" s="720" t="s">
        <v>856</v>
      </c>
      <c r="D18" s="720" t="s">
        <v>857</v>
      </c>
      <c r="E18" s="720" t="s">
        <v>858</v>
      </c>
      <c r="F18" s="720" t="s">
        <v>859</v>
      </c>
    </row>
    <row r="19" spans="1:6" ht="15">
      <c r="A19" s="720">
        <v>1</v>
      </c>
      <c r="B19" s="720">
        <v>2</v>
      </c>
      <c r="C19" s="720">
        <v>3</v>
      </c>
      <c r="D19" s="720">
        <v>4</v>
      </c>
      <c r="E19" s="720">
        <v>5</v>
      </c>
      <c r="F19" s="720">
        <v>6</v>
      </c>
    </row>
    <row r="20" spans="1:6" ht="38.25">
      <c r="A20" s="717" t="s">
        <v>38</v>
      </c>
      <c r="B20" s="718" t="s">
        <v>860</v>
      </c>
      <c r="C20" s="719">
        <v>870904</v>
      </c>
      <c r="D20" s="719">
        <v>870904</v>
      </c>
      <c r="E20" s="719">
        <v>0</v>
      </c>
      <c r="F20" s="719">
        <v>0</v>
      </c>
    </row>
    <row r="21" spans="1:6" ht="25.5">
      <c r="A21" s="717" t="s">
        <v>42</v>
      </c>
      <c r="B21" s="718" t="s">
        <v>861</v>
      </c>
      <c r="C21" s="719">
        <v>1681600</v>
      </c>
      <c r="D21" s="719">
        <v>1681600</v>
      </c>
      <c r="E21" s="719">
        <v>0</v>
      </c>
      <c r="F21" s="719">
        <v>0</v>
      </c>
    </row>
    <row r="22" spans="1:6" ht="38.25">
      <c r="A22" s="717" t="s">
        <v>43</v>
      </c>
      <c r="B22" s="718" t="s">
        <v>862</v>
      </c>
      <c r="C22" s="719">
        <v>8673942</v>
      </c>
      <c r="D22" s="719">
        <v>8599254</v>
      </c>
      <c r="E22" s="719">
        <v>0</v>
      </c>
      <c r="F22" s="719">
        <v>74688</v>
      </c>
    </row>
    <row r="23" spans="1:6" ht="38.25">
      <c r="A23" s="717" t="s">
        <v>863</v>
      </c>
      <c r="B23" s="718" t="s">
        <v>864</v>
      </c>
      <c r="C23" s="719">
        <v>26685000</v>
      </c>
      <c r="D23" s="719">
        <v>26685000</v>
      </c>
      <c r="E23" s="719">
        <v>0</v>
      </c>
      <c r="F23" s="719">
        <v>0</v>
      </c>
    </row>
    <row r="24" spans="1:6" ht="38.25">
      <c r="A24" s="717" t="s">
        <v>865</v>
      </c>
      <c r="B24" s="718" t="s">
        <v>866</v>
      </c>
      <c r="C24" s="719">
        <v>7909770</v>
      </c>
      <c r="D24" s="719">
        <v>7909770</v>
      </c>
      <c r="E24" s="719">
        <v>0</v>
      </c>
      <c r="F24" s="719">
        <v>0</v>
      </c>
    </row>
    <row r="25" spans="1:6" ht="38.25">
      <c r="A25" s="717" t="s">
        <v>867</v>
      </c>
      <c r="B25" s="718" t="s">
        <v>868</v>
      </c>
      <c r="C25" s="719">
        <v>1535000</v>
      </c>
      <c r="D25" s="719">
        <v>1535000</v>
      </c>
      <c r="E25" s="719">
        <v>0</v>
      </c>
      <c r="F25" s="719">
        <v>0</v>
      </c>
    </row>
    <row r="26" spans="1:6" ht="38.25">
      <c r="A26" s="714" t="s">
        <v>869</v>
      </c>
      <c r="B26" s="715" t="s">
        <v>870</v>
      </c>
      <c r="C26" s="716">
        <v>9444770</v>
      </c>
      <c r="D26" s="716">
        <v>9444770</v>
      </c>
      <c r="E26" s="716">
        <v>0</v>
      </c>
      <c r="F26" s="716">
        <v>0</v>
      </c>
    </row>
    <row r="27" spans="1:6" ht="25.5">
      <c r="A27" s="717" t="s">
        <v>871</v>
      </c>
      <c r="B27" s="718" t="s">
        <v>872</v>
      </c>
      <c r="C27" s="719">
        <v>721002</v>
      </c>
      <c r="D27" s="719">
        <v>721002</v>
      </c>
      <c r="E27" s="719">
        <v>0</v>
      </c>
      <c r="F27" s="719">
        <v>0</v>
      </c>
    </row>
    <row r="28" spans="1:6" ht="25.5">
      <c r="A28" s="717" t="s">
        <v>873</v>
      </c>
      <c r="B28" s="718" t="s">
        <v>874</v>
      </c>
      <c r="C28" s="719">
        <v>34764665</v>
      </c>
      <c r="D28" s="719">
        <v>33327665</v>
      </c>
      <c r="E28" s="719">
        <v>0</v>
      </c>
      <c r="F28" s="719">
        <v>1437000</v>
      </c>
    </row>
    <row r="29" spans="1:6" ht="25.5">
      <c r="A29" s="717" t="s">
        <v>875</v>
      </c>
      <c r="B29" s="718" t="s">
        <v>876</v>
      </c>
      <c r="C29" s="719">
        <v>19410400</v>
      </c>
      <c r="D29" s="719">
        <v>19410400</v>
      </c>
      <c r="E29" s="719">
        <v>0</v>
      </c>
      <c r="F29" s="719">
        <v>0</v>
      </c>
    </row>
    <row r="30" spans="1:6" ht="38.25">
      <c r="A30" s="714" t="s">
        <v>877</v>
      </c>
      <c r="B30" s="715" t="s">
        <v>878</v>
      </c>
      <c r="C30" s="716">
        <v>54175065</v>
      </c>
      <c r="D30" s="716">
        <v>52738065</v>
      </c>
      <c r="E30" s="716">
        <v>0</v>
      </c>
      <c r="F30" s="716">
        <v>1437000</v>
      </c>
    </row>
    <row r="31" spans="1:6" ht="38.25">
      <c r="A31" s="717" t="s">
        <v>879</v>
      </c>
      <c r="B31" s="718" t="s">
        <v>880</v>
      </c>
      <c r="C31" s="719">
        <v>15941000</v>
      </c>
      <c r="D31" s="719">
        <v>15941000</v>
      </c>
      <c r="E31" s="719">
        <v>0</v>
      </c>
      <c r="F31" s="719">
        <v>0</v>
      </c>
    </row>
    <row r="32" spans="1:6" ht="25.5">
      <c r="A32" s="714" t="s">
        <v>881</v>
      </c>
      <c r="B32" s="715" t="s">
        <v>882</v>
      </c>
      <c r="C32" s="716">
        <v>118193283</v>
      </c>
      <c r="D32" s="716">
        <v>116681595</v>
      </c>
      <c r="E32" s="716">
        <v>0</v>
      </c>
      <c r="F32" s="716">
        <v>1511688</v>
      </c>
    </row>
  </sheetData>
  <sheetProtection/>
  <mergeCells count="4">
    <mergeCell ref="A2:Q2"/>
    <mergeCell ref="A1:K1"/>
    <mergeCell ref="L1:Q1"/>
    <mergeCell ref="A17:F1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5"/>
  <sheetViews>
    <sheetView zoomScale="110" zoomScaleNormal="110" zoomScaleSheetLayoutView="100" workbookViewId="0" topLeftCell="A88">
      <selection activeCell="N45" sqref="N45"/>
    </sheetView>
  </sheetViews>
  <sheetFormatPr defaultColWidth="9.00390625" defaultRowHeight="12.75"/>
  <cols>
    <col min="1" max="1" width="9.00390625" style="154" customWidth="1"/>
    <col min="2" max="2" width="68.875" style="154" customWidth="1"/>
    <col min="3" max="3" width="18.875" style="154" customWidth="1"/>
    <col min="4" max="5" width="18.875" style="155" customWidth="1"/>
    <col min="6" max="6" width="9.375" style="176" customWidth="1"/>
    <col min="7" max="7" width="9.375" style="887" customWidth="1"/>
    <col min="8" max="16384" width="9.375" style="176" customWidth="1"/>
  </cols>
  <sheetData>
    <row r="1" spans="1:5" ht="15.75">
      <c r="A1" s="902" t="str">
        <f>CONCATENATE("1. tájékoztató tábla ",Z_ALAPADATOK!A7," ",Z_ALAPADATOK!B7," ",Z_ALAPADATOK!C7," ",Z_ALAPADATOK!D7," ",Z_ALAPADATOK!E7," ",Z_ALAPADATOK!F7," ",Z_ALAPADATOK!G7," ",Z_ALAPADATOK!H7)</f>
        <v>1. tájékoztató tábla a … / 2020. ( … ) önkormányzati rendelethez</v>
      </c>
      <c r="B1" s="903"/>
      <c r="C1" s="903"/>
      <c r="D1" s="903"/>
      <c r="E1" s="903"/>
    </row>
    <row r="2" spans="1:5" ht="15.75">
      <c r="A2" s="904" t="str">
        <f>CONCATENATE(Z_ALAPADATOK!A3)</f>
        <v>Bátaszék Város Önkormányzata</v>
      </c>
      <c r="B2" s="905"/>
      <c r="C2" s="905"/>
      <c r="D2" s="905"/>
      <c r="E2" s="905"/>
    </row>
    <row r="3" spans="1:5" ht="15.75">
      <c r="A3" s="904" t="str">
        <f>CONCATENATE(Z_ALAPADATOK!B1,". ÉVI ZÁRSZÁMADÁSÁNAK PÉNZÜGYI MÉRLEGE")</f>
        <v>2019. ÉVI ZÁRSZÁMADÁSÁNAK PÉNZÜGYI MÉRLEGE</v>
      </c>
      <c r="B3" s="905"/>
      <c r="C3" s="905"/>
      <c r="D3" s="905"/>
      <c r="E3" s="905"/>
    </row>
    <row r="4" spans="1:5" ht="15.75" customHeight="1">
      <c r="A4" s="916" t="s">
        <v>3</v>
      </c>
      <c r="B4" s="916"/>
      <c r="C4" s="916"/>
      <c r="D4" s="916"/>
      <c r="E4" s="916"/>
    </row>
    <row r="5" spans="1:5" ht="15.75" customHeight="1" thickBot="1">
      <c r="A5" s="546" t="s">
        <v>100</v>
      </c>
      <c r="B5" s="546"/>
      <c r="C5" s="546"/>
      <c r="D5" s="547"/>
      <c r="E5" s="547"/>
    </row>
    <row r="6" spans="1:5" ht="15.75" customHeight="1">
      <c r="A6" s="997" t="s">
        <v>51</v>
      </c>
      <c r="B6" s="999" t="s">
        <v>5</v>
      </c>
      <c r="C6" s="1001" t="str">
        <f>CONCATENATE(Z_ALAPADATOK!B1-1," évi tény")</f>
        <v>2018 évi tény</v>
      </c>
      <c r="D6" s="1003" t="str">
        <f>CONCATENATE(Z_ALAPADATOK!B1,". évi")</f>
        <v>2019. évi</v>
      </c>
      <c r="E6" s="1004"/>
    </row>
    <row r="7" spans="1:7" ht="37.5" customHeight="1" thickBot="1">
      <c r="A7" s="998"/>
      <c r="B7" s="1000"/>
      <c r="C7" s="1002"/>
      <c r="D7" s="548" t="s">
        <v>446</v>
      </c>
      <c r="E7" s="309" t="s">
        <v>441</v>
      </c>
      <c r="F7" s="176" t="s">
        <v>1218</v>
      </c>
      <c r="G7" s="887" t="s">
        <v>1424</v>
      </c>
    </row>
    <row r="8" spans="1:7" s="177" customFormat="1" ht="12" customHeight="1" thickBot="1">
      <c r="A8" s="549" t="s">
        <v>382</v>
      </c>
      <c r="B8" s="550" t="s">
        <v>383</v>
      </c>
      <c r="C8" s="550" t="s">
        <v>384</v>
      </c>
      <c r="D8" s="550" t="s">
        <v>385</v>
      </c>
      <c r="E8" s="551" t="s">
        <v>387</v>
      </c>
      <c r="G8" s="888"/>
    </row>
    <row r="9" spans="1:7" s="178" customFormat="1" ht="12" customHeight="1" thickBot="1">
      <c r="A9" s="18" t="s">
        <v>6</v>
      </c>
      <c r="B9" s="365" t="s">
        <v>162</v>
      </c>
      <c r="C9" s="166">
        <f>+C10+C11+C12+C13+C14+C15</f>
        <v>476431</v>
      </c>
      <c r="D9" s="166">
        <f>+D10+D11+D12+D13+D14+D15</f>
        <v>554745</v>
      </c>
      <c r="E9" s="102">
        <f>+E10+E11+E12+E13+E14+E15</f>
        <v>554745</v>
      </c>
      <c r="F9" s="886">
        <f>E9-D9</f>
        <v>0</v>
      </c>
      <c r="G9" s="889">
        <f>E9/D9</f>
        <v>1</v>
      </c>
    </row>
    <row r="10" spans="1:7" s="178" customFormat="1" ht="12" customHeight="1">
      <c r="A10" s="13" t="s">
        <v>63</v>
      </c>
      <c r="B10" s="366" t="s">
        <v>163</v>
      </c>
      <c r="C10" s="168">
        <v>124435</v>
      </c>
      <c r="D10" s="168">
        <v>138010</v>
      </c>
      <c r="E10" s="104">
        <v>138010</v>
      </c>
      <c r="F10" s="886">
        <f aca="true" t="shared" si="0" ref="F10:F73">E10-D10</f>
        <v>0</v>
      </c>
      <c r="G10" s="889">
        <f aca="true" t="shared" si="1" ref="G10:G65">E10/D10</f>
        <v>1</v>
      </c>
    </row>
    <row r="11" spans="1:7" s="178" customFormat="1" ht="12" customHeight="1">
      <c r="A11" s="12" t="s">
        <v>64</v>
      </c>
      <c r="B11" s="367" t="s">
        <v>164</v>
      </c>
      <c r="C11" s="167">
        <v>163613</v>
      </c>
      <c r="D11" s="167">
        <v>179930</v>
      </c>
      <c r="E11" s="103">
        <v>179930</v>
      </c>
      <c r="F11" s="886">
        <f t="shared" si="0"/>
        <v>0</v>
      </c>
      <c r="G11" s="889">
        <f t="shared" si="1"/>
        <v>1</v>
      </c>
    </row>
    <row r="12" spans="1:7" s="178" customFormat="1" ht="12" customHeight="1">
      <c r="A12" s="12" t="s">
        <v>65</v>
      </c>
      <c r="B12" s="367" t="s">
        <v>165</v>
      </c>
      <c r="C12" s="167">
        <v>154162</v>
      </c>
      <c r="D12" s="167">
        <v>172196</v>
      </c>
      <c r="E12" s="103">
        <v>172196</v>
      </c>
      <c r="F12" s="886">
        <f t="shared" si="0"/>
        <v>0</v>
      </c>
      <c r="G12" s="889">
        <f t="shared" si="1"/>
        <v>1</v>
      </c>
    </row>
    <row r="13" spans="1:7" s="178" customFormat="1" ht="12" customHeight="1">
      <c r="A13" s="12" t="s">
        <v>66</v>
      </c>
      <c r="B13" s="367" t="s">
        <v>166</v>
      </c>
      <c r="C13" s="167">
        <v>8519</v>
      </c>
      <c r="D13" s="167">
        <v>10434</v>
      </c>
      <c r="E13" s="103">
        <v>10434</v>
      </c>
      <c r="F13" s="886">
        <f t="shared" si="0"/>
        <v>0</v>
      </c>
      <c r="G13" s="889">
        <f t="shared" si="1"/>
        <v>1</v>
      </c>
    </row>
    <row r="14" spans="1:7" s="178" customFormat="1" ht="12" customHeight="1">
      <c r="A14" s="12" t="s">
        <v>97</v>
      </c>
      <c r="B14" s="367" t="s">
        <v>330</v>
      </c>
      <c r="C14" s="368">
        <v>23767</v>
      </c>
      <c r="D14" s="167">
        <v>54175</v>
      </c>
      <c r="E14" s="103">
        <v>54175</v>
      </c>
      <c r="F14" s="886">
        <f t="shared" si="0"/>
        <v>0</v>
      </c>
      <c r="G14" s="889">
        <f t="shared" si="1"/>
        <v>1</v>
      </c>
    </row>
    <row r="15" spans="1:7" s="178" customFormat="1" ht="12" customHeight="1" thickBot="1">
      <c r="A15" s="14" t="s">
        <v>67</v>
      </c>
      <c r="B15" s="369" t="s">
        <v>331</v>
      </c>
      <c r="C15" s="370">
        <v>1935</v>
      </c>
      <c r="D15" s="169"/>
      <c r="E15" s="105"/>
      <c r="F15" s="886">
        <f t="shared" si="0"/>
        <v>0</v>
      </c>
      <c r="G15" s="889"/>
    </row>
    <row r="16" spans="1:7" s="178" customFormat="1" ht="12" customHeight="1" thickBot="1">
      <c r="A16" s="18" t="s">
        <v>7</v>
      </c>
      <c r="B16" s="371" t="s">
        <v>167</v>
      </c>
      <c r="C16" s="166">
        <f>+C17+C18+C19+C20+C21</f>
        <v>125167</v>
      </c>
      <c r="D16" s="166">
        <f>+D17+D18+D19+D20+D21</f>
        <v>121448</v>
      </c>
      <c r="E16" s="102">
        <f>+E17+E18+E19+E20+E21</f>
        <v>123477</v>
      </c>
      <c r="F16" s="886">
        <f t="shared" si="0"/>
        <v>2029</v>
      </c>
      <c r="G16" s="889">
        <f t="shared" si="1"/>
        <v>1.016706738686516</v>
      </c>
    </row>
    <row r="17" spans="1:7" s="178" customFormat="1" ht="12" customHeight="1">
      <c r="A17" s="13" t="s">
        <v>69</v>
      </c>
      <c r="B17" s="366" t="s">
        <v>168</v>
      </c>
      <c r="C17" s="168"/>
      <c r="D17" s="168"/>
      <c r="E17" s="104"/>
      <c r="F17" s="886">
        <f t="shared" si="0"/>
        <v>0</v>
      </c>
      <c r="G17" s="889"/>
    </row>
    <row r="18" spans="1:7" s="178" customFormat="1" ht="12" customHeight="1">
      <c r="A18" s="12" t="s">
        <v>70</v>
      </c>
      <c r="B18" s="367" t="s">
        <v>169</v>
      </c>
      <c r="C18" s="167"/>
      <c r="D18" s="167"/>
      <c r="E18" s="103"/>
      <c r="F18" s="886">
        <f t="shared" si="0"/>
        <v>0</v>
      </c>
      <c r="G18" s="889"/>
    </row>
    <row r="19" spans="1:7" s="178" customFormat="1" ht="12" customHeight="1">
      <c r="A19" s="12" t="s">
        <v>71</v>
      </c>
      <c r="B19" s="367" t="s">
        <v>323</v>
      </c>
      <c r="C19" s="167"/>
      <c r="D19" s="167"/>
      <c r="E19" s="103"/>
      <c r="F19" s="886">
        <f t="shared" si="0"/>
        <v>0</v>
      </c>
      <c r="G19" s="889"/>
    </row>
    <row r="20" spans="1:7" s="178" customFormat="1" ht="12" customHeight="1">
      <c r="A20" s="12" t="s">
        <v>72</v>
      </c>
      <c r="B20" s="367" t="s">
        <v>324</v>
      </c>
      <c r="C20" s="167"/>
      <c r="D20" s="167"/>
      <c r="E20" s="103"/>
      <c r="F20" s="886">
        <f t="shared" si="0"/>
        <v>0</v>
      </c>
      <c r="G20" s="889"/>
    </row>
    <row r="21" spans="1:7" s="178" customFormat="1" ht="12" customHeight="1">
      <c r="A21" s="12" t="s">
        <v>73</v>
      </c>
      <c r="B21" s="367" t="s">
        <v>170</v>
      </c>
      <c r="C21" s="167">
        <v>125167</v>
      </c>
      <c r="D21" s="167">
        <v>121448</v>
      </c>
      <c r="E21" s="103">
        <v>123477</v>
      </c>
      <c r="F21" s="886">
        <f t="shared" si="0"/>
        <v>2029</v>
      </c>
      <c r="G21" s="889">
        <f t="shared" si="1"/>
        <v>1.016706738686516</v>
      </c>
    </row>
    <row r="22" spans="1:7" s="178" customFormat="1" ht="12" customHeight="1" thickBot="1">
      <c r="A22" s="14" t="s">
        <v>80</v>
      </c>
      <c r="B22" s="369" t="s">
        <v>171</v>
      </c>
      <c r="C22" s="169"/>
      <c r="D22" s="169"/>
      <c r="E22" s="105">
        <v>5854</v>
      </c>
      <c r="F22" s="886">
        <f t="shared" si="0"/>
        <v>5854</v>
      </c>
      <c r="G22" s="889"/>
    </row>
    <row r="23" spans="1:7" s="178" customFormat="1" ht="12" customHeight="1" thickBot="1">
      <c r="A23" s="18" t="s">
        <v>8</v>
      </c>
      <c r="B23" s="365" t="s">
        <v>172</v>
      </c>
      <c r="C23" s="166">
        <f>+C24+C25+C26+C27+C28</f>
        <v>156643</v>
      </c>
      <c r="D23" s="166">
        <f>+D24+D25+D26+D27+D28</f>
        <v>147389</v>
      </c>
      <c r="E23" s="102">
        <f>+E24+E25+E26+E27+E28</f>
        <v>145605</v>
      </c>
      <c r="F23" s="886">
        <f t="shared" si="0"/>
        <v>-1784</v>
      </c>
      <c r="G23" s="889">
        <f t="shared" si="1"/>
        <v>0.9878959759547863</v>
      </c>
    </row>
    <row r="24" spans="1:7" s="178" customFormat="1" ht="12" customHeight="1">
      <c r="A24" s="13" t="s">
        <v>52</v>
      </c>
      <c r="B24" s="366" t="s">
        <v>173</v>
      </c>
      <c r="C24" s="168">
        <v>25972</v>
      </c>
      <c r="D24" s="168">
        <v>9383</v>
      </c>
      <c r="E24" s="104">
        <v>9383</v>
      </c>
      <c r="F24" s="886">
        <f t="shared" si="0"/>
        <v>0</v>
      </c>
      <c r="G24" s="889">
        <f t="shared" si="1"/>
        <v>1</v>
      </c>
    </row>
    <row r="25" spans="1:7" s="178" customFormat="1" ht="12" customHeight="1">
      <c r="A25" s="12" t="s">
        <v>53</v>
      </c>
      <c r="B25" s="367" t="s">
        <v>174</v>
      </c>
      <c r="C25" s="167"/>
      <c r="D25" s="167"/>
      <c r="E25" s="103"/>
      <c r="F25" s="886">
        <f t="shared" si="0"/>
        <v>0</v>
      </c>
      <c r="G25" s="889"/>
    </row>
    <row r="26" spans="1:7" s="178" customFormat="1" ht="12" customHeight="1">
      <c r="A26" s="12" t="s">
        <v>54</v>
      </c>
      <c r="B26" s="367" t="s">
        <v>325</v>
      </c>
      <c r="C26" s="167"/>
      <c r="D26" s="167"/>
      <c r="E26" s="103"/>
      <c r="F26" s="886">
        <f t="shared" si="0"/>
        <v>0</v>
      </c>
      <c r="G26" s="889"/>
    </row>
    <row r="27" spans="1:7" s="178" customFormat="1" ht="12" customHeight="1">
      <c r="A27" s="12" t="s">
        <v>55</v>
      </c>
      <c r="B27" s="367" t="s">
        <v>326</v>
      </c>
      <c r="C27" s="167"/>
      <c r="D27" s="167"/>
      <c r="E27" s="103"/>
      <c r="F27" s="886">
        <f t="shared" si="0"/>
        <v>0</v>
      </c>
      <c r="G27" s="889"/>
    </row>
    <row r="28" spans="1:7" s="178" customFormat="1" ht="12" customHeight="1">
      <c r="A28" s="12" t="s">
        <v>110</v>
      </c>
      <c r="B28" s="367" t="s">
        <v>175</v>
      </c>
      <c r="C28" s="167">
        <v>130671</v>
      </c>
      <c r="D28" s="167">
        <v>138006</v>
      </c>
      <c r="E28" s="103">
        <v>136222</v>
      </c>
      <c r="F28" s="886">
        <f t="shared" si="0"/>
        <v>-1784</v>
      </c>
      <c r="G28" s="889">
        <f t="shared" si="1"/>
        <v>0.987073025810472</v>
      </c>
    </row>
    <row r="29" spans="1:7" s="178" customFormat="1" ht="12" customHeight="1" thickBot="1">
      <c r="A29" s="14" t="s">
        <v>111</v>
      </c>
      <c r="B29" s="369" t="s">
        <v>176</v>
      </c>
      <c r="C29" s="169"/>
      <c r="D29" s="169">
        <v>196152</v>
      </c>
      <c r="E29" s="105">
        <v>117222</v>
      </c>
      <c r="F29" s="886">
        <f t="shared" si="0"/>
        <v>-78930</v>
      </c>
      <c r="G29" s="889">
        <f t="shared" si="1"/>
        <v>0.5976079774868469</v>
      </c>
    </row>
    <row r="30" spans="1:7" s="178" customFormat="1" ht="12" customHeight="1" thickBot="1">
      <c r="A30" s="25" t="s">
        <v>112</v>
      </c>
      <c r="B30" s="19" t="s">
        <v>513</v>
      </c>
      <c r="C30" s="172">
        <f>SUM(C31:C36)</f>
        <v>314058</v>
      </c>
      <c r="D30" s="172">
        <f>SUM(D31:D36)</f>
        <v>362805</v>
      </c>
      <c r="E30" s="207">
        <f>SUM(E31:E36)</f>
        <v>363976</v>
      </c>
      <c r="F30" s="886">
        <f t="shared" si="0"/>
        <v>1171</v>
      </c>
      <c r="G30" s="889">
        <f t="shared" si="1"/>
        <v>1.0032276291671836</v>
      </c>
    </row>
    <row r="31" spans="1:7" s="178" customFormat="1" ht="12" customHeight="1">
      <c r="A31" s="195" t="s">
        <v>177</v>
      </c>
      <c r="B31" s="307" t="s">
        <v>761</v>
      </c>
      <c r="C31" s="700">
        <v>30777</v>
      </c>
      <c r="D31" s="253">
        <v>32000</v>
      </c>
      <c r="E31" s="104">
        <v>32970</v>
      </c>
      <c r="F31" s="886">
        <f t="shared" si="0"/>
        <v>970</v>
      </c>
      <c r="G31" s="889">
        <f t="shared" si="1"/>
        <v>1.0303125</v>
      </c>
    </row>
    <row r="32" spans="1:7" s="178" customFormat="1" ht="12" customHeight="1">
      <c r="A32" s="196" t="s">
        <v>178</v>
      </c>
      <c r="B32" s="698" t="s">
        <v>181</v>
      </c>
      <c r="C32" s="679">
        <v>21072</v>
      </c>
      <c r="D32" s="254">
        <v>21000</v>
      </c>
      <c r="E32" s="103">
        <v>21458</v>
      </c>
      <c r="F32" s="886">
        <f t="shared" si="0"/>
        <v>458</v>
      </c>
      <c r="G32" s="889">
        <f t="shared" si="1"/>
        <v>1.0218095238095237</v>
      </c>
    </row>
    <row r="33" spans="1:7" s="178" customFormat="1" ht="12" customHeight="1">
      <c r="A33" s="196" t="s">
        <v>179</v>
      </c>
      <c r="B33" s="698" t="s">
        <v>474</v>
      </c>
      <c r="C33" s="679">
        <v>259944</v>
      </c>
      <c r="D33" s="254">
        <v>308000</v>
      </c>
      <c r="E33" s="103">
        <v>308262</v>
      </c>
      <c r="F33" s="886">
        <f t="shared" si="0"/>
        <v>262</v>
      </c>
      <c r="G33" s="889">
        <f t="shared" si="1"/>
        <v>1.0008506493506493</v>
      </c>
    </row>
    <row r="34" spans="1:7" s="178" customFormat="1" ht="12" customHeight="1">
      <c r="A34" s="196" t="s">
        <v>180</v>
      </c>
      <c r="B34" s="698" t="s">
        <v>475</v>
      </c>
      <c r="C34" s="679">
        <v>192</v>
      </c>
      <c r="D34" s="254">
        <v>200</v>
      </c>
      <c r="E34" s="103"/>
      <c r="F34" s="886">
        <f t="shared" si="0"/>
        <v>-200</v>
      </c>
      <c r="G34" s="889">
        <f t="shared" si="1"/>
        <v>0</v>
      </c>
    </row>
    <row r="35" spans="1:7" s="178" customFormat="1" ht="12" customHeight="1">
      <c r="A35" s="196" t="s">
        <v>476</v>
      </c>
      <c r="B35" s="698" t="s">
        <v>885</v>
      </c>
      <c r="C35" s="679">
        <v>2068</v>
      </c>
      <c r="D35" s="254">
        <v>1600</v>
      </c>
      <c r="E35" s="103">
        <v>1281</v>
      </c>
      <c r="F35" s="886">
        <f t="shared" si="0"/>
        <v>-319</v>
      </c>
      <c r="G35" s="889">
        <f t="shared" si="1"/>
        <v>0.800625</v>
      </c>
    </row>
    <row r="36" spans="1:7" s="178" customFormat="1" ht="12" customHeight="1" thickBot="1">
      <c r="A36" s="196" t="s">
        <v>477</v>
      </c>
      <c r="B36" s="697" t="s">
        <v>762</v>
      </c>
      <c r="C36" s="679">
        <v>5</v>
      </c>
      <c r="D36" s="254">
        <v>5</v>
      </c>
      <c r="E36" s="103">
        <v>5</v>
      </c>
      <c r="F36" s="886">
        <f t="shared" si="0"/>
        <v>0</v>
      </c>
      <c r="G36" s="889">
        <f t="shared" si="1"/>
        <v>1</v>
      </c>
    </row>
    <row r="37" spans="1:7" s="178" customFormat="1" ht="12" customHeight="1" thickBot="1">
      <c r="A37" s="18" t="s">
        <v>10</v>
      </c>
      <c r="B37" s="365" t="s">
        <v>514</v>
      </c>
      <c r="C37" s="166">
        <f>SUM(C38:C48)</f>
        <v>92834</v>
      </c>
      <c r="D37" s="166">
        <f>SUM(D38:D48)</f>
        <v>172711</v>
      </c>
      <c r="E37" s="102">
        <f>SUM(E38:E48)</f>
        <v>174405</v>
      </c>
      <c r="F37" s="886">
        <f t="shared" si="0"/>
        <v>1694</v>
      </c>
      <c r="G37" s="889">
        <f t="shared" si="1"/>
        <v>1.0098082924654481</v>
      </c>
    </row>
    <row r="38" spans="1:7" s="178" customFormat="1" ht="12" customHeight="1">
      <c r="A38" s="13" t="s">
        <v>56</v>
      </c>
      <c r="B38" s="366" t="s">
        <v>184</v>
      </c>
      <c r="C38" s="168">
        <v>2</v>
      </c>
      <c r="D38" s="168">
        <v>21</v>
      </c>
      <c r="E38" s="104">
        <v>16</v>
      </c>
      <c r="F38" s="886">
        <f t="shared" si="0"/>
        <v>-5</v>
      </c>
      <c r="G38" s="889">
        <f t="shared" si="1"/>
        <v>0.7619047619047619</v>
      </c>
    </row>
    <row r="39" spans="1:7" s="178" customFormat="1" ht="12" customHeight="1">
      <c r="A39" s="12" t="s">
        <v>57</v>
      </c>
      <c r="B39" s="367" t="s">
        <v>185</v>
      </c>
      <c r="C39" s="167">
        <v>15456</v>
      </c>
      <c r="D39" s="167">
        <v>15551</v>
      </c>
      <c r="E39" s="103">
        <v>13532</v>
      </c>
      <c r="F39" s="886">
        <f t="shared" si="0"/>
        <v>-2019</v>
      </c>
      <c r="G39" s="889">
        <f t="shared" si="1"/>
        <v>0.8701691209568516</v>
      </c>
    </row>
    <row r="40" spans="1:7" s="178" customFormat="1" ht="12" customHeight="1">
      <c r="A40" s="12" t="s">
        <v>58</v>
      </c>
      <c r="B40" s="367" t="s">
        <v>186</v>
      </c>
      <c r="C40" s="167">
        <v>5747</v>
      </c>
      <c r="D40" s="167">
        <v>7314</v>
      </c>
      <c r="E40" s="103">
        <v>7466</v>
      </c>
      <c r="F40" s="886">
        <f t="shared" si="0"/>
        <v>152</v>
      </c>
      <c r="G40" s="889">
        <f t="shared" si="1"/>
        <v>1.020782061799289</v>
      </c>
    </row>
    <row r="41" spans="1:7" s="178" customFormat="1" ht="12" customHeight="1">
      <c r="A41" s="12" t="s">
        <v>114</v>
      </c>
      <c r="B41" s="367" t="s">
        <v>187</v>
      </c>
      <c r="C41" s="167">
        <v>7667</v>
      </c>
      <c r="D41" s="167">
        <v>8000</v>
      </c>
      <c r="E41" s="103">
        <v>8514</v>
      </c>
      <c r="F41" s="886">
        <f t="shared" si="0"/>
        <v>514</v>
      </c>
      <c r="G41" s="889">
        <f t="shared" si="1"/>
        <v>1.06425</v>
      </c>
    </row>
    <row r="42" spans="1:7" s="178" customFormat="1" ht="12" customHeight="1">
      <c r="A42" s="12" t="s">
        <v>115</v>
      </c>
      <c r="B42" s="367" t="s">
        <v>188</v>
      </c>
      <c r="C42" s="167"/>
      <c r="D42" s="167">
        <v>0</v>
      </c>
      <c r="E42" s="103"/>
      <c r="F42" s="886">
        <f t="shared" si="0"/>
        <v>0</v>
      </c>
      <c r="G42" s="889"/>
    </row>
    <row r="43" spans="1:7" s="178" customFormat="1" ht="12" customHeight="1">
      <c r="A43" s="12" t="s">
        <v>116</v>
      </c>
      <c r="B43" s="367" t="s">
        <v>189</v>
      </c>
      <c r="C43" s="167">
        <v>4255</v>
      </c>
      <c r="D43" s="167">
        <v>8555</v>
      </c>
      <c r="E43" s="103">
        <v>8479</v>
      </c>
      <c r="F43" s="886">
        <f t="shared" si="0"/>
        <v>-76</v>
      </c>
      <c r="G43" s="889">
        <f t="shared" si="1"/>
        <v>0.9911163062536529</v>
      </c>
    </row>
    <row r="44" spans="1:7" s="178" customFormat="1" ht="12" customHeight="1">
      <c r="A44" s="12" t="s">
        <v>117</v>
      </c>
      <c r="B44" s="367" t="s">
        <v>190</v>
      </c>
      <c r="C44" s="167">
        <v>57980</v>
      </c>
      <c r="D44" s="167">
        <v>132636</v>
      </c>
      <c r="E44" s="103">
        <v>135736</v>
      </c>
      <c r="F44" s="886">
        <f t="shared" si="0"/>
        <v>3100</v>
      </c>
      <c r="G44" s="889">
        <f t="shared" si="1"/>
        <v>1.023372236798456</v>
      </c>
    </row>
    <row r="45" spans="1:7" s="178" customFormat="1" ht="12" customHeight="1">
      <c r="A45" s="12" t="s">
        <v>118</v>
      </c>
      <c r="B45" s="367" t="s">
        <v>191</v>
      </c>
      <c r="C45" s="167"/>
      <c r="D45" s="167">
        <v>1</v>
      </c>
      <c r="E45" s="103">
        <v>11</v>
      </c>
      <c r="F45" s="886">
        <f t="shared" si="0"/>
        <v>10</v>
      </c>
      <c r="G45" s="889">
        <f t="shared" si="1"/>
        <v>11</v>
      </c>
    </row>
    <row r="46" spans="1:7" s="178" customFormat="1" ht="12" customHeight="1">
      <c r="A46" s="12" t="s">
        <v>182</v>
      </c>
      <c r="B46" s="367" t="s">
        <v>192</v>
      </c>
      <c r="C46" s="167"/>
      <c r="D46" s="167">
        <v>1</v>
      </c>
      <c r="E46" s="103"/>
      <c r="F46" s="886">
        <f t="shared" si="0"/>
        <v>-1</v>
      </c>
      <c r="G46" s="889">
        <f t="shared" si="1"/>
        <v>0</v>
      </c>
    </row>
    <row r="47" spans="1:7" s="178" customFormat="1" ht="12" customHeight="1">
      <c r="A47" s="12" t="s">
        <v>183</v>
      </c>
      <c r="B47" s="367" t="s">
        <v>334</v>
      </c>
      <c r="C47" s="170">
        <v>1727</v>
      </c>
      <c r="D47" s="170">
        <v>597</v>
      </c>
      <c r="E47" s="106">
        <v>597</v>
      </c>
      <c r="F47" s="886">
        <f t="shared" si="0"/>
        <v>0</v>
      </c>
      <c r="G47" s="889">
        <f t="shared" si="1"/>
        <v>1</v>
      </c>
    </row>
    <row r="48" spans="1:7" s="178" customFormat="1" ht="12" customHeight="1" thickBot="1">
      <c r="A48" s="14" t="s">
        <v>333</v>
      </c>
      <c r="B48" s="369" t="s">
        <v>193</v>
      </c>
      <c r="C48" s="171"/>
      <c r="D48" s="171">
        <v>35</v>
      </c>
      <c r="E48" s="107">
        <v>54</v>
      </c>
      <c r="F48" s="886">
        <f t="shared" si="0"/>
        <v>19</v>
      </c>
      <c r="G48" s="889">
        <f t="shared" si="1"/>
        <v>1.542857142857143</v>
      </c>
    </row>
    <row r="49" spans="1:7" s="178" customFormat="1" ht="12" customHeight="1" thickBot="1">
      <c r="A49" s="18" t="s">
        <v>11</v>
      </c>
      <c r="B49" s="365" t="s">
        <v>194</v>
      </c>
      <c r="C49" s="166">
        <f>SUM(C50:C54)</f>
        <v>530</v>
      </c>
      <c r="D49" s="166">
        <f>SUM(D50:D54)</f>
        <v>14513</v>
      </c>
      <c r="E49" s="102">
        <f>SUM(E50:E54)</f>
        <v>14513</v>
      </c>
      <c r="F49" s="886">
        <f t="shared" si="0"/>
        <v>0</v>
      </c>
      <c r="G49" s="889">
        <f t="shared" si="1"/>
        <v>1</v>
      </c>
    </row>
    <row r="50" spans="1:7" s="178" customFormat="1" ht="12" customHeight="1">
      <c r="A50" s="13" t="s">
        <v>59</v>
      </c>
      <c r="B50" s="366" t="s">
        <v>198</v>
      </c>
      <c r="C50" s="218"/>
      <c r="D50" s="218"/>
      <c r="E50" s="108"/>
      <c r="F50" s="886">
        <f t="shared" si="0"/>
        <v>0</v>
      </c>
      <c r="G50" s="889"/>
    </row>
    <row r="51" spans="1:7" s="178" customFormat="1" ht="12" customHeight="1">
      <c r="A51" s="12" t="s">
        <v>60</v>
      </c>
      <c r="B51" s="367" t="s">
        <v>199</v>
      </c>
      <c r="C51" s="170">
        <v>530</v>
      </c>
      <c r="D51" s="170">
        <v>14513</v>
      </c>
      <c r="E51" s="106">
        <v>14513</v>
      </c>
      <c r="F51" s="886">
        <f t="shared" si="0"/>
        <v>0</v>
      </c>
      <c r="G51" s="889">
        <f t="shared" si="1"/>
        <v>1</v>
      </c>
    </row>
    <row r="52" spans="1:7" s="178" customFormat="1" ht="12" customHeight="1">
      <c r="A52" s="12" t="s">
        <v>195</v>
      </c>
      <c r="B52" s="367" t="s">
        <v>200</v>
      </c>
      <c r="C52" s="170"/>
      <c r="D52" s="170"/>
      <c r="E52" s="106"/>
      <c r="F52" s="886">
        <f t="shared" si="0"/>
        <v>0</v>
      </c>
      <c r="G52" s="889"/>
    </row>
    <row r="53" spans="1:7" s="178" customFormat="1" ht="12" customHeight="1">
      <c r="A53" s="12" t="s">
        <v>196</v>
      </c>
      <c r="B53" s="367" t="s">
        <v>201</v>
      </c>
      <c r="C53" s="170"/>
      <c r="D53" s="170"/>
      <c r="E53" s="106"/>
      <c r="F53" s="886">
        <f t="shared" si="0"/>
        <v>0</v>
      </c>
      <c r="G53" s="889"/>
    </row>
    <row r="54" spans="1:7" s="178" customFormat="1" ht="12" customHeight="1" thickBot="1">
      <c r="A54" s="14" t="s">
        <v>197</v>
      </c>
      <c r="B54" s="369" t="s">
        <v>202</v>
      </c>
      <c r="C54" s="171"/>
      <c r="D54" s="171"/>
      <c r="E54" s="107"/>
      <c r="F54" s="886">
        <f t="shared" si="0"/>
        <v>0</v>
      </c>
      <c r="G54" s="889"/>
    </row>
    <row r="55" spans="1:7" s="178" customFormat="1" ht="13.5" thickBot="1">
      <c r="A55" s="18" t="s">
        <v>119</v>
      </c>
      <c r="B55" s="365" t="s">
        <v>203</v>
      </c>
      <c r="C55" s="166">
        <f>SUM(C56:C58)</f>
        <v>11864</v>
      </c>
      <c r="D55" s="166">
        <f>SUM(D56:D58)</f>
        <v>4310</v>
      </c>
      <c r="E55" s="102">
        <f>SUM(E56:E58)</f>
        <v>4386</v>
      </c>
      <c r="F55" s="886">
        <f t="shared" si="0"/>
        <v>76</v>
      </c>
      <c r="G55" s="889">
        <f t="shared" si="1"/>
        <v>1.0176334106728537</v>
      </c>
    </row>
    <row r="56" spans="1:7" s="178" customFormat="1" ht="12.75">
      <c r="A56" s="13" t="s">
        <v>61</v>
      </c>
      <c r="B56" s="366" t="s">
        <v>204</v>
      </c>
      <c r="C56" s="168"/>
      <c r="D56" s="168"/>
      <c r="E56" s="104"/>
      <c r="F56" s="886">
        <f t="shared" si="0"/>
        <v>0</v>
      </c>
      <c r="G56" s="889"/>
    </row>
    <row r="57" spans="1:7" s="178" customFormat="1" ht="14.25" customHeight="1">
      <c r="A57" s="12" t="s">
        <v>62</v>
      </c>
      <c r="B57" s="367" t="s">
        <v>515</v>
      </c>
      <c r="C57" s="167"/>
      <c r="D57" s="167"/>
      <c r="E57" s="103"/>
      <c r="F57" s="886">
        <f t="shared" si="0"/>
        <v>0</v>
      </c>
      <c r="G57" s="889"/>
    </row>
    <row r="58" spans="1:7" s="178" customFormat="1" ht="12.75">
      <c r="A58" s="12" t="s">
        <v>207</v>
      </c>
      <c r="B58" s="367" t="s">
        <v>205</v>
      </c>
      <c r="C58" s="167">
        <v>11864</v>
      </c>
      <c r="D58" s="167">
        <v>4310</v>
      </c>
      <c r="E58" s="103">
        <v>4386</v>
      </c>
      <c r="F58" s="886">
        <f t="shared" si="0"/>
        <v>76</v>
      </c>
      <c r="G58" s="889">
        <f t="shared" si="1"/>
        <v>1.0176334106728537</v>
      </c>
    </row>
    <row r="59" spans="1:7" s="178" customFormat="1" ht="13.5" thickBot="1">
      <c r="A59" s="14" t="s">
        <v>208</v>
      </c>
      <c r="B59" s="369" t="s">
        <v>206</v>
      </c>
      <c r="C59" s="169"/>
      <c r="D59" s="169"/>
      <c r="E59" s="105"/>
      <c r="F59" s="886">
        <f t="shared" si="0"/>
        <v>0</v>
      </c>
      <c r="G59" s="889"/>
    </row>
    <row r="60" spans="1:7" s="178" customFormat="1" ht="13.5" thickBot="1">
      <c r="A60" s="18" t="s">
        <v>13</v>
      </c>
      <c r="B60" s="371" t="s">
        <v>209</v>
      </c>
      <c r="C60" s="166">
        <f>SUM(C61:C63)</f>
        <v>9622</v>
      </c>
      <c r="D60" s="166">
        <f>SUM(D61:D63)</f>
        <v>4650</v>
      </c>
      <c r="E60" s="102">
        <f>SUM(E61:E63)</f>
        <v>170</v>
      </c>
      <c r="F60" s="886">
        <f t="shared" si="0"/>
        <v>-4480</v>
      </c>
      <c r="G60" s="889">
        <f t="shared" si="1"/>
        <v>0.03655913978494624</v>
      </c>
    </row>
    <row r="61" spans="1:7" s="178" customFormat="1" ht="12.75">
      <c r="A61" s="12" t="s">
        <v>120</v>
      </c>
      <c r="B61" s="366" t="s">
        <v>211</v>
      </c>
      <c r="C61" s="170"/>
      <c r="D61" s="170"/>
      <c r="E61" s="106"/>
      <c r="F61" s="886">
        <f t="shared" si="0"/>
        <v>0</v>
      </c>
      <c r="G61" s="889"/>
    </row>
    <row r="62" spans="1:7" s="178" customFormat="1" ht="12.75" customHeight="1">
      <c r="A62" s="12" t="s">
        <v>121</v>
      </c>
      <c r="B62" s="367" t="s">
        <v>516</v>
      </c>
      <c r="C62" s="170">
        <v>2622</v>
      </c>
      <c r="D62" s="170"/>
      <c r="E62" s="106">
        <v>70</v>
      </c>
      <c r="F62" s="886">
        <f t="shared" si="0"/>
        <v>70</v>
      </c>
      <c r="G62" s="889"/>
    </row>
    <row r="63" spans="1:7" s="178" customFormat="1" ht="12.75">
      <c r="A63" s="12" t="s">
        <v>144</v>
      </c>
      <c r="B63" s="367" t="s">
        <v>212</v>
      </c>
      <c r="C63" s="170">
        <v>7000</v>
      </c>
      <c r="D63" s="170">
        <v>4650</v>
      </c>
      <c r="E63" s="106">
        <v>100</v>
      </c>
      <c r="F63" s="886">
        <f t="shared" si="0"/>
        <v>-4550</v>
      </c>
      <c r="G63" s="889">
        <f t="shared" si="1"/>
        <v>0.021505376344086023</v>
      </c>
    </row>
    <row r="64" spans="1:7" s="178" customFormat="1" ht="13.5" thickBot="1">
      <c r="A64" s="12" t="s">
        <v>210</v>
      </c>
      <c r="B64" s="369" t="s">
        <v>213</v>
      </c>
      <c r="C64" s="170"/>
      <c r="D64" s="170"/>
      <c r="E64" s="106"/>
      <c r="F64" s="886">
        <f t="shared" si="0"/>
        <v>0</v>
      </c>
      <c r="G64" s="889"/>
    </row>
    <row r="65" spans="1:7" s="178" customFormat="1" ht="13.5" thickBot="1">
      <c r="A65" s="18" t="s">
        <v>14</v>
      </c>
      <c r="B65" s="365" t="s">
        <v>214</v>
      </c>
      <c r="C65" s="172">
        <f>+C9+C16+C23+C30+C37+C49+C55+C60</f>
        <v>1187149</v>
      </c>
      <c r="D65" s="172">
        <f>+D9+D16+D23+D30+D37+D49+D55+D60</f>
        <v>1382571</v>
      </c>
      <c r="E65" s="207">
        <f>+E9+E16+E23+E30+E37+E49+E55+E60</f>
        <v>1381277</v>
      </c>
      <c r="F65" s="886">
        <f t="shared" si="0"/>
        <v>-1294</v>
      </c>
      <c r="G65" s="889">
        <f t="shared" si="1"/>
        <v>0.9990640625327741</v>
      </c>
    </row>
    <row r="66" spans="1:7" s="178" customFormat="1" ht="13.5" thickBot="1">
      <c r="A66" s="219" t="s">
        <v>215</v>
      </c>
      <c r="B66" s="371" t="s">
        <v>517</v>
      </c>
      <c r="C66" s="166">
        <f>SUM(C67:C69)</f>
        <v>0</v>
      </c>
      <c r="D66" s="166">
        <f>SUM(D67:D69)</f>
        <v>0</v>
      </c>
      <c r="E66" s="102">
        <f>SUM(E67:E69)</f>
        <v>0</v>
      </c>
      <c r="F66" s="886">
        <f t="shared" si="0"/>
        <v>0</v>
      </c>
      <c r="G66" s="889"/>
    </row>
    <row r="67" spans="1:7" s="178" customFormat="1" ht="12.75">
      <c r="A67" s="12" t="s">
        <v>243</v>
      </c>
      <c r="B67" s="366" t="s">
        <v>217</v>
      </c>
      <c r="C67" s="170"/>
      <c r="D67" s="170"/>
      <c r="E67" s="106"/>
      <c r="F67" s="886">
        <f t="shared" si="0"/>
        <v>0</v>
      </c>
      <c r="G67" s="889"/>
    </row>
    <row r="68" spans="1:7" s="178" customFormat="1" ht="12.75">
      <c r="A68" s="12" t="s">
        <v>252</v>
      </c>
      <c r="B68" s="367" t="s">
        <v>218</v>
      </c>
      <c r="C68" s="170"/>
      <c r="D68" s="170"/>
      <c r="E68" s="106"/>
      <c r="F68" s="886">
        <f t="shared" si="0"/>
        <v>0</v>
      </c>
      <c r="G68" s="889"/>
    </row>
    <row r="69" spans="1:7" s="178" customFormat="1" ht="13.5" thickBot="1">
      <c r="A69" s="12" t="s">
        <v>253</v>
      </c>
      <c r="B69" s="228" t="s">
        <v>753</v>
      </c>
      <c r="C69" s="170"/>
      <c r="D69" s="170"/>
      <c r="E69" s="106"/>
      <c r="F69" s="886">
        <f t="shared" si="0"/>
        <v>0</v>
      </c>
      <c r="G69" s="889"/>
    </row>
    <row r="70" spans="1:7" s="178" customFormat="1" ht="13.5" thickBot="1">
      <c r="A70" s="219" t="s">
        <v>219</v>
      </c>
      <c r="B70" s="371" t="s">
        <v>220</v>
      </c>
      <c r="C70" s="166">
        <f>SUM(C71:C74)</f>
        <v>0</v>
      </c>
      <c r="D70" s="166">
        <f>SUM(D71:D74)</f>
        <v>0</v>
      </c>
      <c r="E70" s="102">
        <f>SUM(E71:E74)</f>
        <v>0</v>
      </c>
      <c r="F70" s="886">
        <f t="shared" si="0"/>
        <v>0</v>
      </c>
      <c r="G70" s="889"/>
    </row>
    <row r="71" spans="1:7" s="178" customFormat="1" ht="12.75">
      <c r="A71" s="12" t="s">
        <v>98</v>
      </c>
      <c r="B71" s="372" t="s">
        <v>221</v>
      </c>
      <c r="C71" s="170"/>
      <c r="D71" s="170"/>
      <c r="E71" s="106"/>
      <c r="F71" s="886">
        <f t="shared" si="0"/>
        <v>0</v>
      </c>
      <c r="G71" s="889"/>
    </row>
    <row r="72" spans="1:7" s="178" customFormat="1" ht="12.75">
      <c r="A72" s="12" t="s">
        <v>99</v>
      </c>
      <c r="B72" s="372" t="s">
        <v>485</v>
      </c>
      <c r="C72" s="170"/>
      <c r="D72" s="170"/>
      <c r="E72" s="106"/>
      <c r="F72" s="886">
        <f t="shared" si="0"/>
        <v>0</v>
      </c>
      <c r="G72" s="889"/>
    </row>
    <row r="73" spans="1:7" s="178" customFormat="1" ht="12" customHeight="1">
      <c r="A73" s="12" t="s">
        <v>244</v>
      </c>
      <c r="B73" s="372" t="s">
        <v>222</v>
      </c>
      <c r="C73" s="170"/>
      <c r="D73" s="170"/>
      <c r="E73" s="106"/>
      <c r="F73" s="886">
        <f t="shared" si="0"/>
        <v>0</v>
      </c>
      <c r="G73" s="889"/>
    </row>
    <row r="74" spans="1:7" s="178" customFormat="1" ht="12" customHeight="1" thickBot="1">
      <c r="A74" s="12" t="s">
        <v>245</v>
      </c>
      <c r="B74" s="373" t="s">
        <v>486</v>
      </c>
      <c r="C74" s="170"/>
      <c r="D74" s="170"/>
      <c r="E74" s="106"/>
      <c r="F74" s="886">
        <f aca="true" t="shared" si="2" ref="F74:F137">E74-D74</f>
        <v>0</v>
      </c>
      <c r="G74" s="889"/>
    </row>
    <row r="75" spans="1:7" s="178" customFormat="1" ht="12" customHeight="1" thickBot="1">
      <c r="A75" s="219" t="s">
        <v>223</v>
      </c>
      <c r="B75" s="371" t="s">
        <v>224</v>
      </c>
      <c r="C75" s="166">
        <f>SUM(C76:C77)</f>
        <v>1141084</v>
      </c>
      <c r="D75" s="166">
        <f>SUM(D76:D77)</f>
        <v>876435</v>
      </c>
      <c r="E75" s="102">
        <f>SUM(E76:E77)</f>
        <v>876435</v>
      </c>
      <c r="F75" s="886">
        <f t="shared" si="2"/>
        <v>0</v>
      </c>
      <c r="G75" s="889">
        <f>E75/D75</f>
        <v>1</v>
      </c>
    </row>
    <row r="76" spans="1:7" s="178" customFormat="1" ht="12" customHeight="1">
      <c r="A76" s="12" t="s">
        <v>246</v>
      </c>
      <c r="B76" s="366" t="s">
        <v>225</v>
      </c>
      <c r="C76" s="170">
        <v>1141084</v>
      </c>
      <c r="D76" s="170">
        <v>876435</v>
      </c>
      <c r="E76" s="106">
        <v>876435</v>
      </c>
      <c r="F76" s="886">
        <f t="shared" si="2"/>
        <v>0</v>
      </c>
      <c r="G76" s="889">
        <f>E76/D76</f>
        <v>1</v>
      </c>
    </row>
    <row r="77" spans="1:7" s="178" customFormat="1" ht="12" customHeight="1" thickBot="1">
      <c r="A77" s="12" t="s">
        <v>247</v>
      </c>
      <c r="B77" s="369" t="s">
        <v>226</v>
      </c>
      <c r="C77" s="170"/>
      <c r="D77" s="170"/>
      <c r="E77" s="106"/>
      <c r="F77" s="886">
        <f t="shared" si="2"/>
        <v>0</v>
      </c>
      <c r="G77" s="889"/>
    </row>
    <row r="78" spans="1:7" s="178" customFormat="1" ht="12" customHeight="1" thickBot="1">
      <c r="A78" s="219" t="s">
        <v>227</v>
      </c>
      <c r="B78" s="371" t="s">
        <v>228</v>
      </c>
      <c r="C78" s="166">
        <f>SUM(C79:C81)</f>
        <v>16506</v>
      </c>
      <c r="D78" s="166">
        <f>SUM(D79:D81)</f>
        <v>18636</v>
      </c>
      <c r="E78" s="102">
        <f>SUM(E79:E81)</f>
        <v>18636</v>
      </c>
      <c r="F78" s="886">
        <f t="shared" si="2"/>
        <v>0</v>
      </c>
      <c r="G78" s="889">
        <f>E78/D78</f>
        <v>1</v>
      </c>
    </row>
    <row r="79" spans="1:7" s="178" customFormat="1" ht="12" customHeight="1">
      <c r="A79" s="12" t="s">
        <v>248</v>
      </c>
      <c r="B79" s="366" t="s">
        <v>229</v>
      </c>
      <c r="C79" s="170">
        <v>16506</v>
      </c>
      <c r="D79" s="170">
        <v>18636</v>
      </c>
      <c r="E79" s="106">
        <v>18636</v>
      </c>
      <c r="F79" s="886">
        <f t="shared" si="2"/>
        <v>0</v>
      </c>
      <c r="G79" s="889">
        <f>E79/D79</f>
        <v>1</v>
      </c>
    </row>
    <row r="80" spans="1:7" s="178" customFormat="1" ht="12" customHeight="1">
      <c r="A80" s="12" t="s">
        <v>249</v>
      </c>
      <c r="B80" s="367" t="s">
        <v>230</v>
      </c>
      <c r="C80" s="170"/>
      <c r="D80" s="170"/>
      <c r="E80" s="106"/>
      <c r="F80" s="886">
        <f t="shared" si="2"/>
        <v>0</v>
      </c>
      <c r="G80" s="889"/>
    </row>
    <row r="81" spans="1:7" s="178" customFormat="1" ht="12" customHeight="1" thickBot="1">
      <c r="A81" s="12" t="s">
        <v>250</v>
      </c>
      <c r="B81" s="374" t="s">
        <v>518</v>
      </c>
      <c r="C81" s="170"/>
      <c r="D81" s="170"/>
      <c r="E81" s="106"/>
      <c r="F81" s="886">
        <f t="shared" si="2"/>
        <v>0</v>
      </c>
      <c r="G81" s="889"/>
    </row>
    <row r="82" spans="1:7" s="178" customFormat="1" ht="12" customHeight="1" thickBot="1">
      <c r="A82" s="219" t="s">
        <v>231</v>
      </c>
      <c r="B82" s="371" t="s">
        <v>251</v>
      </c>
      <c r="C82" s="166">
        <f>SUM(C83:C86)</f>
        <v>0</v>
      </c>
      <c r="D82" s="166">
        <f>SUM(D83:D86)</f>
        <v>0</v>
      </c>
      <c r="E82" s="102">
        <f>SUM(E83:E86)</f>
        <v>0</v>
      </c>
      <c r="F82" s="886">
        <f t="shared" si="2"/>
        <v>0</v>
      </c>
      <c r="G82" s="889"/>
    </row>
    <row r="83" spans="1:7" s="178" customFormat="1" ht="12" customHeight="1">
      <c r="A83" s="375" t="s">
        <v>232</v>
      </c>
      <c r="B83" s="366" t="s">
        <v>233</v>
      </c>
      <c r="C83" s="170"/>
      <c r="D83" s="170"/>
      <c r="E83" s="106"/>
      <c r="F83" s="886">
        <f t="shared" si="2"/>
        <v>0</v>
      </c>
      <c r="G83" s="889"/>
    </row>
    <row r="84" spans="1:7" s="178" customFormat="1" ht="12" customHeight="1">
      <c r="A84" s="376" t="s">
        <v>234</v>
      </c>
      <c r="B84" s="367" t="s">
        <v>235</v>
      </c>
      <c r="C84" s="170"/>
      <c r="D84" s="170"/>
      <c r="E84" s="106"/>
      <c r="F84" s="886">
        <f t="shared" si="2"/>
        <v>0</v>
      </c>
      <c r="G84" s="889"/>
    </row>
    <row r="85" spans="1:7" s="178" customFormat="1" ht="12" customHeight="1">
      <c r="A85" s="376" t="s">
        <v>236</v>
      </c>
      <c r="B85" s="367" t="s">
        <v>237</v>
      </c>
      <c r="C85" s="170"/>
      <c r="D85" s="170"/>
      <c r="E85" s="106"/>
      <c r="F85" s="886">
        <f t="shared" si="2"/>
        <v>0</v>
      </c>
      <c r="G85" s="889"/>
    </row>
    <row r="86" spans="1:7" s="178" customFormat="1" ht="12" customHeight="1" thickBot="1">
      <c r="A86" s="377" t="s">
        <v>238</v>
      </c>
      <c r="B86" s="369" t="s">
        <v>239</v>
      </c>
      <c r="C86" s="170"/>
      <c r="D86" s="170"/>
      <c r="E86" s="106"/>
      <c r="F86" s="886">
        <f t="shared" si="2"/>
        <v>0</v>
      </c>
      <c r="G86" s="889"/>
    </row>
    <row r="87" spans="1:7" s="178" customFormat="1" ht="12" customHeight="1" thickBot="1">
      <c r="A87" s="219" t="s">
        <v>240</v>
      </c>
      <c r="B87" s="371" t="s">
        <v>241</v>
      </c>
      <c r="C87" s="221"/>
      <c r="D87" s="221"/>
      <c r="E87" s="222"/>
      <c r="F87" s="886">
        <f t="shared" si="2"/>
        <v>0</v>
      </c>
      <c r="G87" s="889"/>
    </row>
    <row r="88" spans="1:7" s="178" customFormat="1" ht="13.5" customHeight="1" thickBot="1">
      <c r="A88" s="219" t="s">
        <v>242</v>
      </c>
      <c r="B88" s="378" t="s">
        <v>519</v>
      </c>
      <c r="C88" s="172">
        <f>+C66+C70+C75+C78+C82+C87</f>
        <v>1157590</v>
      </c>
      <c r="D88" s="172">
        <f>+D66+D70+D75+D78+D82+D87</f>
        <v>895071</v>
      </c>
      <c r="E88" s="207">
        <f>+E66+E70+E75+E78+E82+E87</f>
        <v>895071</v>
      </c>
      <c r="F88" s="886">
        <f t="shared" si="2"/>
        <v>0</v>
      </c>
      <c r="G88" s="889">
        <f>E88/D88</f>
        <v>1</v>
      </c>
    </row>
    <row r="89" spans="1:7" s="178" customFormat="1" ht="12" customHeight="1" thickBot="1">
      <c r="A89" s="220" t="s">
        <v>254</v>
      </c>
      <c r="B89" s="379" t="s">
        <v>520</v>
      </c>
      <c r="C89" s="172">
        <f>+C65+C88</f>
        <v>2344739</v>
      </c>
      <c r="D89" s="172">
        <f>+D65+D88</f>
        <v>2277642</v>
      </c>
      <c r="E89" s="207">
        <f>+E65+E88</f>
        <v>2276348</v>
      </c>
      <c r="F89" s="886">
        <f t="shared" si="2"/>
        <v>-1294</v>
      </c>
      <c r="G89" s="889">
        <f>E89/D89</f>
        <v>0.9994318685728486</v>
      </c>
    </row>
    <row r="90" spans="1:6" ht="16.5" customHeight="1">
      <c r="A90" s="917" t="s">
        <v>34</v>
      </c>
      <c r="B90" s="917"/>
      <c r="C90" s="917"/>
      <c r="D90" s="917"/>
      <c r="E90" s="917"/>
      <c r="F90" s="886">
        <f t="shared" si="2"/>
        <v>0</v>
      </c>
    </row>
    <row r="91" spans="1:7" s="187" customFormat="1" ht="16.5" customHeight="1" thickBot="1">
      <c r="A91" s="380" t="s">
        <v>101</v>
      </c>
      <c r="B91" s="380"/>
      <c r="C91" s="380"/>
      <c r="D91" s="60"/>
      <c r="E91" s="60"/>
      <c r="F91" s="886"/>
      <c r="G91" s="890"/>
    </row>
    <row r="92" spans="1:7" s="187" customFormat="1" ht="16.5" customHeight="1">
      <c r="A92" s="992" t="s">
        <v>51</v>
      </c>
      <c r="B92" s="913" t="s">
        <v>416</v>
      </c>
      <c r="C92" s="910" t="str">
        <f>+C6</f>
        <v>2018 évi tény</v>
      </c>
      <c r="D92" s="995" t="str">
        <f>+D6</f>
        <v>2019. évi</v>
      </c>
      <c r="E92" s="996"/>
      <c r="F92" s="886"/>
      <c r="G92" s="890"/>
    </row>
    <row r="93" spans="1:6" ht="37.5" customHeight="1" thickBot="1">
      <c r="A93" s="993"/>
      <c r="B93" s="994"/>
      <c r="C93" s="911"/>
      <c r="D93" s="248" t="s">
        <v>446</v>
      </c>
      <c r="E93" s="364" t="s">
        <v>441</v>
      </c>
      <c r="F93" s="886"/>
    </row>
    <row r="94" spans="1:7" s="17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385</v>
      </c>
      <c r="E94" s="381" t="s">
        <v>387</v>
      </c>
      <c r="F94" s="886"/>
      <c r="G94" s="888"/>
    </row>
    <row r="95" spans="1:7" ht="12" customHeight="1" thickBot="1">
      <c r="A95" s="20" t="s">
        <v>6</v>
      </c>
      <c r="B95" s="24" t="s">
        <v>319</v>
      </c>
      <c r="C95" s="165">
        <f>SUM(C96:C100)</f>
        <v>965319</v>
      </c>
      <c r="D95" s="165">
        <f>+D96+D97+D98+D99+D100+D113</f>
        <v>1610226</v>
      </c>
      <c r="E95" s="235">
        <f>+E96+E97+E98+E99+E100</f>
        <v>1100543</v>
      </c>
      <c r="F95" s="886">
        <f t="shared" si="2"/>
        <v>-509683</v>
      </c>
      <c r="G95" s="889">
        <f aca="true" t="shared" si="3" ref="G95:G100">E95/D95</f>
        <v>0.6834711400759893</v>
      </c>
    </row>
    <row r="96" spans="1:7" ht="12" customHeight="1">
      <c r="A96" s="15" t="s">
        <v>63</v>
      </c>
      <c r="B96" s="382" t="s">
        <v>35</v>
      </c>
      <c r="C96" s="242">
        <v>160850</v>
      </c>
      <c r="D96" s="242">
        <v>175307</v>
      </c>
      <c r="E96" s="236">
        <v>173375</v>
      </c>
      <c r="F96" s="886">
        <f t="shared" si="2"/>
        <v>-1932</v>
      </c>
      <c r="G96" s="889">
        <f t="shared" si="3"/>
        <v>0.9889793333979818</v>
      </c>
    </row>
    <row r="97" spans="1:7" ht="12" customHeight="1">
      <c r="A97" s="12" t="s">
        <v>64</v>
      </c>
      <c r="B97" s="383" t="s">
        <v>122</v>
      </c>
      <c r="C97" s="167">
        <v>31209</v>
      </c>
      <c r="D97" s="167">
        <v>32211</v>
      </c>
      <c r="E97" s="103">
        <v>32149</v>
      </c>
      <c r="F97" s="886">
        <f t="shared" si="2"/>
        <v>-62</v>
      </c>
      <c r="G97" s="889">
        <f t="shared" si="3"/>
        <v>0.9980751917046972</v>
      </c>
    </row>
    <row r="98" spans="1:7" ht="12" customHeight="1">
      <c r="A98" s="12" t="s">
        <v>65</v>
      </c>
      <c r="B98" s="383" t="s">
        <v>90</v>
      </c>
      <c r="C98" s="169">
        <v>270262</v>
      </c>
      <c r="D98" s="169">
        <v>324571</v>
      </c>
      <c r="E98" s="105">
        <v>311742</v>
      </c>
      <c r="F98" s="886">
        <f t="shared" si="2"/>
        <v>-12829</v>
      </c>
      <c r="G98" s="889">
        <f t="shared" si="3"/>
        <v>0.9604739794990926</v>
      </c>
    </row>
    <row r="99" spans="1:7" ht="12" customHeight="1">
      <c r="A99" s="12" t="s">
        <v>66</v>
      </c>
      <c r="B99" s="384" t="s">
        <v>123</v>
      </c>
      <c r="C99" s="169">
        <v>22981</v>
      </c>
      <c r="D99" s="169">
        <v>16020</v>
      </c>
      <c r="E99" s="105">
        <v>12287</v>
      </c>
      <c r="F99" s="886">
        <f t="shared" si="2"/>
        <v>-3733</v>
      </c>
      <c r="G99" s="889">
        <f t="shared" si="3"/>
        <v>0.7669787765293383</v>
      </c>
    </row>
    <row r="100" spans="1:7" ht="12" customHeight="1">
      <c r="A100" s="12" t="s">
        <v>75</v>
      </c>
      <c r="B100" s="385" t="s">
        <v>124</v>
      </c>
      <c r="C100" s="169">
        <v>480017</v>
      </c>
      <c r="D100" s="169">
        <v>576001</v>
      </c>
      <c r="E100" s="105">
        <v>570990</v>
      </c>
      <c r="F100" s="886">
        <f t="shared" si="2"/>
        <v>-5011</v>
      </c>
      <c r="G100" s="889">
        <f t="shared" si="3"/>
        <v>0.9913003623257598</v>
      </c>
    </row>
    <row r="101" spans="1:7" ht="12" customHeight="1">
      <c r="A101" s="12" t="s">
        <v>67</v>
      </c>
      <c r="B101" s="383" t="s">
        <v>340</v>
      </c>
      <c r="C101" s="169">
        <v>80</v>
      </c>
      <c r="D101" s="169">
        <v>0</v>
      </c>
      <c r="E101" s="105">
        <v>1324</v>
      </c>
      <c r="F101" s="886">
        <f t="shared" si="2"/>
        <v>1324</v>
      </c>
      <c r="G101" s="889"/>
    </row>
    <row r="102" spans="1:7" ht="12" customHeight="1">
      <c r="A102" s="12" t="s">
        <v>68</v>
      </c>
      <c r="B102" s="386" t="s">
        <v>339</v>
      </c>
      <c r="C102" s="169"/>
      <c r="D102" s="169">
        <v>0</v>
      </c>
      <c r="E102" s="105"/>
      <c r="F102" s="886">
        <f t="shared" si="2"/>
        <v>0</v>
      </c>
      <c r="G102" s="889"/>
    </row>
    <row r="103" spans="1:7" ht="12" customHeight="1">
      <c r="A103" s="12" t="s">
        <v>76</v>
      </c>
      <c r="B103" s="383" t="s">
        <v>338</v>
      </c>
      <c r="C103" s="169"/>
      <c r="D103" s="169">
        <v>1324</v>
      </c>
      <c r="E103" s="105"/>
      <c r="F103" s="886">
        <f t="shared" si="2"/>
        <v>-1324</v>
      </c>
      <c r="G103" s="889">
        <f>E103/D103</f>
        <v>0</v>
      </c>
    </row>
    <row r="104" spans="1:7" ht="12" customHeight="1">
      <c r="A104" s="12" t="s">
        <v>77</v>
      </c>
      <c r="B104" s="383" t="s">
        <v>257</v>
      </c>
      <c r="C104" s="169"/>
      <c r="D104" s="169">
        <v>0</v>
      </c>
      <c r="E104" s="105"/>
      <c r="F104" s="886">
        <f t="shared" si="2"/>
        <v>0</v>
      </c>
      <c r="G104" s="889"/>
    </row>
    <row r="105" spans="1:7" ht="12" customHeight="1">
      <c r="A105" s="12" t="s">
        <v>78</v>
      </c>
      <c r="B105" s="386" t="s">
        <v>258</v>
      </c>
      <c r="C105" s="169">
        <v>347422</v>
      </c>
      <c r="D105" s="169">
        <v>0</v>
      </c>
      <c r="E105" s="105"/>
      <c r="F105" s="886">
        <f t="shared" si="2"/>
        <v>0</v>
      </c>
      <c r="G105" s="889"/>
    </row>
    <row r="106" spans="1:7" ht="12" customHeight="1">
      <c r="A106" s="12" t="s">
        <v>79</v>
      </c>
      <c r="B106" s="386" t="s">
        <v>259</v>
      </c>
      <c r="C106" s="169"/>
      <c r="D106" s="169">
        <v>0</v>
      </c>
      <c r="E106" s="105"/>
      <c r="F106" s="886">
        <f t="shared" si="2"/>
        <v>0</v>
      </c>
      <c r="G106" s="889"/>
    </row>
    <row r="107" spans="1:7" ht="12" customHeight="1">
      <c r="A107" s="12" t="s">
        <v>81</v>
      </c>
      <c r="B107" s="386" t="s">
        <v>260</v>
      </c>
      <c r="C107" s="169"/>
      <c r="D107" s="169">
        <v>388553</v>
      </c>
      <c r="E107" s="105">
        <v>388298</v>
      </c>
      <c r="F107" s="886">
        <f t="shared" si="2"/>
        <v>-255</v>
      </c>
      <c r="G107" s="889">
        <f>E107/D107</f>
        <v>0.9993437188749025</v>
      </c>
    </row>
    <row r="108" spans="1:7" ht="12" customHeight="1">
      <c r="A108" s="12" t="s">
        <v>125</v>
      </c>
      <c r="B108" s="386" t="s">
        <v>261</v>
      </c>
      <c r="C108" s="169"/>
      <c r="D108" s="169">
        <v>0</v>
      </c>
      <c r="E108" s="105"/>
      <c r="F108" s="886">
        <f t="shared" si="2"/>
        <v>0</v>
      </c>
      <c r="G108" s="889"/>
    </row>
    <row r="109" spans="1:7" ht="12" customHeight="1">
      <c r="A109" s="12" t="s">
        <v>255</v>
      </c>
      <c r="B109" s="386" t="s">
        <v>262</v>
      </c>
      <c r="C109" s="169"/>
      <c r="D109" s="169">
        <v>0</v>
      </c>
      <c r="E109" s="105"/>
      <c r="F109" s="886">
        <f t="shared" si="2"/>
        <v>0</v>
      </c>
      <c r="G109" s="889"/>
    </row>
    <row r="110" spans="1:7" ht="12" customHeight="1">
      <c r="A110" s="12" t="s">
        <v>256</v>
      </c>
      <c r="B110" s="386" t="s">
        <v>263</v>
      </c>
      <c r="C110" s="169">
        <v>132515</v>
      </c>
      <c r="D110" s="169">
        <v>0</v>
      </c>
      <c r="E110" s="105"/>
      <c r="F110" s="886">
        <f t="shared" si="2"/>
        <v>0</v>
      </c>
      <c r="G110" s="889"/>
    </row>
    <row r="111" spans="1:7" ht="12" customHeight="1">
      <c r="A111" s="12" t="s">
        <v>336</v>
      </c>
      <c r="B111" s="386" t="s">
        <v>264</v>
      </c>
      <c r="C111" s="169"/>
      <c r="D111" s="169">
        <v>0</v>
      </c>
      <c r="E111" s="105"/>
      <c r="F111" s="886">
        <f t="shared" si="2"/>
        <v>0</v>
      </c>
      <c r="G111" s="889"/>
    </row>
    <row r="112" spans="1:7" ht="12" customHeight="1">
      <c r="A112" s="12" t="s">
        <v>337</v>
      </c>
      <c r="B112" s="383" t="s">
        <v>265</v>
      </c>
      <c r="C112" s="169"/>
      <c r="D112" s="169">
        <v>186124</v>
      </c>
      <c r="E112" s="105">
        <v>181368</v>
      </c>
      <c r="F112" s="886">
        <f t="shared" si="2"/>
        <v>-4756</v>
      </c>
      <c r="G112" s="889">
        <f aca="true" t="shared" si="4" ref="G112:G119">E112/D112</f>
        <v>0.9744471427650384</v>
      </c>
    </row>
    <row r="113" spans="1:7" ht="12" customHeight="1">
      <c r="A113" s="11" t="s">
        <v>341</v>
      </c>
      <c r="B113" s="387" t="s">
        <v>36</v>
      </c>
      <c r="C113" s="169"/>
      <c r="D113" s="169">
        <v>486116</v>
      </c>
      <c r="E113" s="105"/>
      <c r="F113" s="886">
        <f t="shared" si="2"/>
        <v>-486116</v>
      </c>
      <c r="G113" s="889">
        <f t="shared" si="4"/>
        <v>0</v>
      </c>
    </row>
    <row r="114" spans="1:7" ht="12" customHeight="1">
      <c r="A114" s="12" t="s">
        <v>342</v>
      </c>
      <c r="B114" s="387" t="s">
        <v>344</v>
      </c>
      <c r="C114" s="169"/>
      <c r="D114" s="169">
        <v>132123</v>
      </c>
      <c r="E114" s="105"/>
      <c r="F114" s="886">
        <f t="shared" si="2"/>
        <v>-132123</v>
      </c>
      <c r="G114" s="889">
        <f t="shared" si="4"/>
        <v>0</v>
      </c>
    </row>
    <row r="115" spans="1:7" ht="12" customHeight="1" thickBot="1">
      <c r="A115" s="16" t="s">
        <v>343</v>
      </c>
      <c r="B115" s="388" t="s">
        <v>345</v>
      </c>
      <c r="C115" s="243"/>
      <c r="D115" s="243">
        <v>353993</v>
      </c>
      <c r="E115" s="237"/>
      <c r="F115" s="886">
        <f t="shared" si="2"/>
        <v>-353993</v>
      </c>
      <c r="G115" s="889">
        <f t="shared" si="4"/>
        <v>0</v>
      </c>
    </row>
    <row r="116" spans="1:7" ht="12" customHeight="1" thickBot="1">
      <c r="A116" s="18" t="s">
        <v>7</v>
      </c>
      <c r="B116" s="23" t="s">
        <v>754</v>
      </c>
      <c r="C116" s="166">
        <f>+C117+C119+C121</f>
        <v>487758</v>
      </c>
      <c r="D116" s="166">
        <f>+D117+D119+D121</f>
        <v>650886</v>
      </c>
      <c r="E116" s="102">
        <f>+E117+E119+E121</f>
        <v>648445</v>
      </c>
      <c r="F116" s="886">
        <f t="shared" si="2"/>
        <v>-2441</v>
      </c>
      <c r="G116" s="889">
        <f t="shared" si="4"/>
        <v>0.9962497272947951</v>
      </c>
    </row>
    <row r="117" spans="1:7" ht="12" customHeight="1">
      <c r="A117" s="13" t="s">
        <v>69</v>
      </c>
      <c r="B117" s="383" t="s">
        <v>143</v>
      </c>
      <c r="C117" s="168">
        <v>368752</v>
      </c>
      <c r="D117" s="168">
        <v>540455</v>
      </c>
      <c r="E117" s="104">
        <v>539888</v>
      </c>
      <c r="F117" s="886">
        <f t="shared" si="2"/>
        <v>-567</v>
      </c>
      <c r="G117" s="889">
        <f t="shared" si="4"/>
        <v>0.9989508839773894</v>
      </c>
    </row>
    <row r="118" spans="1:7" ht="12" customHeight="1">
      <c r="A118" s="13" t="s">
        <v>70</v>
      </c>
      <c r="B118" s="387" t="s">
        <v>270</v>
      </c>
      <c r="C118" s="168"/>
      <c r="D118" s="168">
        <v>480041</v>
      </c>
      <c r="E118" s="104"/>
      <c r="F118" s="886">
        <f t="shared" si="2"/>
        <v>-480041</v>
      </c>
      <c r="G118" s="889">
        <f t="shared" si="4"/>
        <v>0</v>
      </c>
    </row>
    <row r="119" spans="1:7" ht="15.75">
      <c r="A119" s="13" t="s">
        <v>71</v>
      </c>
      <c r="B119" s="387" t="s">
        <v>126</v>
      </c>
      <c r="C119" s="167">
        <v>105250</v>
      </c>
      <c r="D119" s="167">
        <v>68844</v>
      </c>
      <c r="E119" s="103">
        <v>67742</v>
      </c>
      <c r="F119" s="886">
        <f t="shared" si="2"/>
        <v>-1102</v>
      </c>
      <c r="G119" s="889">
        <f t="shared" si="4"/>
        <v>0.983992795305328</v>
      </c>
    </row>
    <row r="120" spans="1:7" ht="12" customHeight="1">
      <c r="A120" s="13" t="s">
        <v>72</v>
      </c>
      <c r="B120" s="387" t="s">
        <v>271</v>
      </c>
      <c r="C120" s="167"/>
      <c r="D120" s="167">
        <v>0</v>
      </c>
      <c r="E120" s="103"/>
      <c r="F120" s="886">
        <f t="shared" si="2"/>
        <v>0</v>
      </c>
      <c r="G120" s="889"/>
    </row>
    <row r="121" spans="1:7" ht="12" customHeight="1">
      <c r="A121" s="13" t="s">
        <v>73</v>
      </c>
      <c r="B121" s="369" t="s">
        <v>145</v>
      </c>
      <c r="C121" s="167">
        <v>13756</v>
      </c>
      <c r="D121" s="167">
        <v>41587</v>
      </c>
      <c r="E121" s="103">
        <v>40815</v>
      </c>
      <c r="F121" s="886">
        <f t="shared" si="2"/>
        <v>-772</v>
      </c>
      <c r="G121" s="889">
        <f>E121/D121</f>
        <v>0.9814365066006204</v>
      </c>
    </row>
    <row r="122" spans="1:7" ht="15.75">
      <c r="A122" s="13" t="s">
        <v>80</v>
      </c>
      <c r="B122" s="367" t="s">
        <v>329</v>
      </c>
      <c r="C122" s="167"/>
      <c r="D122" s="167">
        <v>0</v>
      </c>
      <c r="E122" s="103"/>
      <c r="F122" s="886">
        <f t="shared" si="2"/>
        <v>0</v>
      </c>
      <c r="G122" s="889"/>
    </row>
    <row r="123" spans="1:7" ht="15.75">
      <c r="A123" s="13" t="s">
        <v>82</v>
      </c>
      <c r="B123" s="389" t="s">
        <v>276</v>
      </c>
      <c r="C123" s="167"/>
      <c r="D123" s="167">
        <v>0</v>
      </c>
      <c r="E123" s="103"/>
      <c r="F123" s="886">
        <f t="shared" si="2"/>
        <v>0</v>
      </c>
      <c r="G123" s="889"/>
    </row>
    <row r="124" spans="1:7" ht="12" customHeight="1">
      <c r="A124" s="13" t="s">
        <v>127</v>
      </c>
      <c r="B124" s="383" t="s">
        <v>259</v>
      </c>
      <c r="C124" s="167"/>
      <c r="D124" s="167">
        <v>0</v>
      </c>
      <c r="E124" s="103"/>
      <c r="F124" s="886">
        <f t="shared" si="2"/>
        <v>0</v>
      </c>
      <c r="G124" s="889"/>
    </row>
    <row r="125" spans="1:7" ht="12" customHeight="1">
      <c r="A125" s="13" t="s">
        <v>128</v>
      </c>
      <c r="B125" s="383" t="s">
        <v>275</v>
      </c>
      <c r="C125" s="167">
        <v>6870</v>
      </c>
      <c r="D125" s="167">
        <v>3763</v>
      </c>
      <c r="E125" s="103">
        <v>3763</v>
      </c>
      <c r="F125" s="886">
        <f t="shared" si="2"/>
        <v>0</v>
      </c>
      <c r="G125" s="889">
        <f>E125/D125</f>
        <v>1</v>
      </c>
    </row>
    <row r="126" spans="1:7" ht="12" customHeight="1">
      <c r="A126" s="13" t="s">
        <v>129</v>
      </c>
      <c r="B126" s="383" t="s">
        <v>274</v>
      </c>
      <c r="C126" s="167"/>
      <c r="D126" s="167">
        <v>0</v>
      </c>
      <c r="E126" s="103"/>
      <c r="F126" s="886">
        <f t="shared" si="2"/>
        <v>0</v>
      </c>
      <c r="G126" s="889"/>
    </row>
    <row r="127" spans="1:7" s="390" customFormat="1" ht="12" customHeight="1">
      <c r="A127" s="13" t="s">
        <v>267</v>
      </c>
      <c r="B127" s="383" t="s">
        <v>262</v>
      </c>
      <c r="C127" s="167">
        <v>2532</v>
      </c>
      <c r="D127" s="167">
        <v>0</v>
      </c>
      <c r="E127" s="103"/>
      <c r="F127" s="886">
        <f t="shared" si="2"/>
        <v>0</v>
      </c>
      <c r="G127" s="889"/>
    </row>
    <row r="128" spans="1:7" ht="12" customHeight="1">
      <c r="A128" s="13" t="s">
        <v>268</v>
      </c>
      <c r="B128" s="383" t="s">
        <v>273</v>
      </c>
      <c r="C128" s="167"/>
      <c r="D128" s="167">
        <v>0</v>
      </c>
      <c r="E128" s="103"/>
      <c r="F128" s="886">
        <f t="shared" si="2"/>
        <v>0</v>
      </c>
      <c r="G128" s="889"/>
    </row>
    <row r="129" spans="1:7" ht="12" customHeight="1" thickBot="1">
      <c r="A129" s="11" t="s">
        <v>269</v>
      </c>
      <c r="B129" s="383" t="s">
        <v>272</v>
      </c>
      <c r="C129" s="169">
        <v>4354</v>
      </c>
      <c r="D129" s="169">
        <v>37824</v>
      </c>
      <c r="E129" s="105">
        <v>37052</v>
      </c>
      <c r="F129" s="886">
        <f t="shared" si="2"/>
        <v>-772</v>
      </c>
      <c r="G129" s="889">
        <f>E129/D129</f>
        <v>0.9795896785109983</v>
      </c>
    </row>
    <row r="130" spans="1:7" ht="12" customHeight="1" thickBot="1">
      <c r="A130" s="18" t="s">
        <v>8</v>
      </c>
      <c r="B130" s="391" t="s">
        <v>346</v>
      </c>
      <c r="C130" s="166">
        <f>+C95+C116</f>
        <v>1453077</v>
      </c>
      <c r="D130" s="166">
        <f>+D95+D116</f>
        <v>2261112</v>
      </c>
      <c r="E130" s="102">
        <f>+E95+E116</f>
        <v>1748988</v>
      </c>
      <c r="F130" s="886">
        <f t="shared" si="2"/>
        <v>-512124</v>
      </c>
      <c r="G130" s="889">
        <f>E130/D130</f>
        <v>0.7735079023064757</v>
      </c>
    </row>
    <row r="131" spans="1:7" ht="12" customHeight="1" thickBot="1">
      <c r="A131" s="18" t="s">
        <v>9</v>
      </c>
      <c r="B131" s="391" t="s">
        <v>347</v>
      </c>
      <c r="C131" s="166">
        <f>+C132+C133+C134</f>
        <v>0</v>
      </c>
      <c r="D131" s="166">
        <f>+D132+D133+D134</f>
        <v>0</v>
      </c>
      <c r="E131" s="102">
        <f>+E132+E133+E134</f>
        <v>0</v>
      </c>
      <c r="F131" s="886">
        <f t="shared" si="2"/>
        <v>0</v>
      </c>
      <c r="G131" s="889"/>
    </row>
    <row r="132" spans="1:7" ht="12" customHeight="1">
      <c r="A132" s="13" t="s">
        <v>177</v>
      </c>
      <c r="B132" s="389" t="s">
        <v>401</v>
      </c>
      <c r="C132" s="167"/>
      <c r="D132" s="167"/>
      <c r="E132" s="103"/>
      <c r="F132" s="886">
        <f t="shared" si="2"/>
        <v>0</v>
      </c>
      <c r="G132" s="889"/>
    </row>
    <row r="133" spans="1:7" ht="12" customHeight="1">
      <c r="A133" s="13" t="s">
        <v>178</v>
      </c>
      <c r="B133" s="389" t="s">
        <v>355</v>
      </c>
      <c r="C133" s="167"/>
      <c r="D133" s="167"/>
      <c r="E133" s="103"/>
      <c r="F133" s="886">
        <f t="shared" si="2"/>
        <v>0</v>
      </c>
      <c r="G133" s="889"/>
    </row>
    <row r="134" spans="1:7" ht="12" customHeight="1" thickBot="1">
      <c r="A134" s="11" t="s">
        <v>179</v>
      </c>
      <c r="B134" s="392" t="s">
        <v>400</v>
      </c>
      <c r="C134" s="167"/>
      <c r="D134" s="167"/>
      <c r="E134" s="103"/>
      <c r="F134" s="886">
        <f t="shared" si="2"/>
        <v>0</v>
      </c>
      <c r="G134" s="889"/>
    </row>
    <row r="135" spans="1:7" ht="12" customHeight="1" thickBot="1">
      <c r="A135" s="18" t="s">
        <v>10</v>
      </c>
      <c r="B135" s="391" t="s">
        <v>755</v>
      </c>
      <c r="C135" s="166">
        <f>+C136+C137+C138+C139</f>
        <v>0</v>
      </c>
      <c r="D135" s="166">
        <f>+D136+D137+D138+D139</f>
        <v>0</v>
      </c>
      <c r="E135" s="102">
        <f>+E136+E137+E138+E139</f>
        <v>0</v>
      </c>
      <c r="F135" s="886">
        <f t="shared" si="2"/>
        <v>0</v>
      </c>
      <c r="G135" s="889"/>
    </row>
    <row r="136" spans="1:7" ht="12" customHeight="1">
      <c r="A136" s="13" t="s">
        <v>56</v>
      </c>
      <c r="B136" s="389" t="s">
        <v>357</v>
      </c>
      <c r="C136" s="167"/>
      <c r="D136" s="167"/>
      <c r="E136" s="103"/>
      <c r="F136" s="886">
        <f t="shared" si="2"/>
        <v>0</v>
      </c>
      <c r="G136" s="889"/>
    </row>
    <row r="137" spans="1:7" ht="12" customHeight="1">
      <c r="A137" s="13" t="s">
        <v>57</v>
      </c>
      <c r="B137" s="389" t="s">
        <v>521</v>
      </c>
      <c r="C137" s="167"/>
      <c r="D137" s="167"/>
      <c r="E137" s="103"/>
      <c r="F137" s="886">
        <f t="shared" si="2"/>
        <v>0</v>
      </c>
      <c r="G137" s="889"/>
    </row>
    <row r="138" spans="1:7" ht="12" customHeight="1">
      <c r="A138" s="13" t="s">
        <v>58</v>
      </c>
      <c r="B138" s="389" t="s">
        <v>349</v>
      </c>
      <c r="C138" s="167"/>
      <c r="D138" s="167"/>
      <c r="E138" s="103"/>
      <c r="F138" s="886">
        <f aca="true" t="shared" si="5" ref="F138:F154">E138-D138</f>
        <v>0</v>
      </c>
      <c r="G138" s="889"/>
    </row>
    <row r="139" spans="1:7" ht="12" customHeight="1" thickBot="1">
      <c r="A139" s="11" t="s">
        <v>114</v>
      </c>
      <c r="B139" s="392" t="s">
        <v>522</v>
      </c>
      <c r="C139" s="167"/>
      <c r="D139" s="167"/>
      <c r="E139" s="103"/>
      <c r="F139" s="886">
        <f t="shared" si="5"/>
        <v>0</v>
      </c>
      <c r="G139" s="889"/>
    </row>
    <row r="140" spans="1:7" ht="12" customHeight="1" thickBot="1">
      <c r="A140" s="18" t="s">
        <v>11</v>
      </c>
      <c r="B140" s="391" t="s">
        <v>361</v>
      </c>
      <c r="C140" s="172">
        <f>+C141+C142+C143+C144</f>
        <v>15227</v>
      </c>
      <c r="D140" s="172">
        <f>+D141+D142+D143+D144</f>
        <v>16530</v>
      </c>
      <c r="E140" s="207">
        <f>+E141+E142+E143+E144</f>
        <v>16530</v>
      </c>
      <c r="F140" s="886">
        <f t="shared" si="5"/>
        <v>0</v>
      </c>
      <c r="G140" s="889">
        <f>E140/D140</f>
        <v>1</v>
      </c>
    </row>
    <row r="141" spans="1:7" ht="12" customHeight="1">
      <c r="A141" s="13" t="s">
        <v>59</v>
      </c>
      <c r="B141" s="389" t="s">
        <v>277</v>
      </c>
      <c r="C141" s="167"/>
      <c r="D141" s="167"/>
      <c r="E141" s="103"/>
      <c r="F141" s="886">
        <f t="shared" si="5"/>
        <v>0</v>
      </c>
      <c r="G141" s="889"/>
    </row>
    <row r="142" spans="1:7" ht="12" customHeight="1">
      <c r="A142" s="13" t="s">
        <v>60</v>
      </c>
      <c r="B142" s="389" t="s">
        <v>278</v>
      </c>
      <c r="C142" s="167">
        <v>15227</v>
      </c>
      <c r="D142" s="167">
        <v>16530</v>
      </c>
      <c r="E142" s="103">
        <v>16530</v>
      </c>
      <c r="F142" s="886">
        <f t="shared" si="5"/>
        <v>0</v>
      </c>
      <c r="G142" s="889">
        <f>E142/D142</f>
        <v>1</v>
      </c>
    </row>
    <row r="143" spans="1:7" ht="12" customHeight="1">
      <c r="A143" s="13" t="s">
        <v>195</v>
      </c>
      <c r="B143" s="389" t="s">
        <v>523</v>
      </c>
      <c r="C143" s="167"/>
      <c r="D143" s="167"/>
      <c r="E143" s="103"/>
      <c r="F143" s="886">
        <f t="shared" si="5"/>
        <v>0</v>
      </c>
      <c r="G143" s="889"/>
    </row>
    <row r="144" spans="1:7" ht="12" customHeight="1" thickBot="1">
      <c r="A144" s="11" t="s">
        <v>196</v>
      </c>
      <c r="B144" s="392" t="s">
        <v>294</v>
      </c>
      <c r="C144" s="167"/>
      <c r="D144" s="167"/>
      <c r="E144" s="103"/>
      <c r="F144" s="886">
        <f t="shared" si="5"/>
        <v>0</v>
      </c>
      <c r="G144" s="889"/>
    </row>
    <row r="145" spans="1:7" ht="15" customHeight="1" thickBot="1">
      <c r="A145" s="18" t="s">
        <v>12</v>
      </c>
      <c r="B145" s="391" t="s">
        <v>756</v>
      </c>
      <c r="C145" s="245">
        <f>+C146+C147+C148+C149</f>
        <v>0</v>
      </c>
      <c r="D145" s="245">
        <f>+D146+D147+D148+D149</f>
        <v>0</v>
      </c>
      <c r="E145" s="239">
        <f>+E146+E147+E148+E149</f>
        <v>0</v>
      </c>
      <c r="F145" s="886">
        <f t="shared" si="5"/>
        <v>0</v>
      </c>
      <c r="G145" s="889"/>
    </row>
    <row r="146" spans="1:7" s="178" customFormat="1" ht="12.75" customHeight="1">
      <c r="A146" s="13" t="s">
        <v>61</v>
      </c>
      <c r="B146" s="389" t="s">
        <v>524</v>
      </c>
      <c r="C146" s="167"/>
      <c r="D146" s="167"/>
      <c r="E146" s="103"/>
      <c r="F146" s="886">
        <f t="shared" si="5"/>
        <v>0</v>
      </c>
      <c r="G146" s="889"/>
    </row>
    <row r="147" spans="1:7" ht="13.5" customHeight="1">
      <c r="A147" s="13" t="s">
        <v>62</v>
      </c>
      <c r="B147" s="389" t="s">
        <v>525</v>
      </c>
      <c r="C147" s="167"/>
      <c r="D147" s="167"/>
      <c r="E147" s="103"/>
      <c r="F147" s="886">
        <f t="shared" si="5"/>
        <v>0</v>
      </c>
      <c r="G147" s="889"/>
    </row>
    <row r="148" spans="1:7" ht="13.5" customHeight="1">
      <c r="A148" s="13" t="s">
        <v>207</v>
      </c>
      <c r="B148" s="389" t="s">
        <v>526</v>
      </c>
      <c r="C148" s="167"/>
      <c r="D148" s="167"/>
      <c r="E148" s="103"/>
      <c r="F148" s="886">
        <f t="shared" si="5"/>
        <v>0</v>
      </c>
      <c r="G148" s="889"/>
    </row>
    <row r="149" spans="1:7" ht="13.5" customHeight="1">
      <c r="A149" s="13" t="s">
        <v>208</v>
      </c>
      <c r="B149" s="389" t="s">
        <v>366</v>
      </c>
      <c r="C149" s="167"/>
      <c r="D149" s="167"/>
      <c r="E149" s="103"/>
      <c r="F149" s="886">
        <f t="shared" si="5"/>
        <v>0</v>
      </c>
      <c r="G149" s="889"/>
    </row>
    <row r="150" spans="1:7" ht="13.5" customHeight="1" thickBot="1">
      <c r="A150" s="11" t="s">
        <v>757</v>
      </c>
      <c r="B150" s="392" t="s">
        <v>367</v>
      </c>
      <c r="C150" s="666"/>
      <c r="D150" s="666"/>
      <c r="E150" s="667"/>
      <c r="F150" s="886">
        <f t="shared" si="5"/>
        <v>0</v>
      </c>
      <c r="G150" s="889"/>
    </row>
    <row r="151" spans="1:7" ht="13.5" customHeight="1" thickBot="1">
      <c r="A151" s="668" t="s">
        <v>13</v>
      </c>
      <c r="B151" s="669" t="s">
        <v>368</v>
      </c>
      <c r="C151" s="670"/>
      <c r="D151" s="670"/>
      <c r="E151" s="671"/>
      <c r="F151" s="886">
        <f t="shared" si="5"/>
        <v>0</v>
      </c>
      <c r="G151" s="889"/>
    </row>
    <row r="152" spans="1:7" ht="13.5" customHeight="1" thickBot="1">
      <c r="A152" s="668" t="s">
        <v>14</v>
      </c>
      <c r="B152" s="669" t="s">
        <v>369</v>
      </c>
      <c r="C152" s="670"/>
      <c r="D152" s="670"/>
      <c r="E152" s="671"/>
      <c r="F152" s="886">
        <f t="shared" si="5"/>
        <v>0</v>
      </c>
      <c r="G152" s="889"/>
    </row>
    <row r="153" spans="1:7" ht="12.75" customHeight="1" thickBot="1">
      <c r="A153" s="18" t="s">
        <v>15</v>
      </c>
      <c r="B153" s="391" t="s">
        <v>371</v>
      </c>
      <c r="C153" s="247">
        <f>+C131+C135+C140+C145+C151+C152</f>
        <v>15227</v>
      </c>
      <c r="D153" s="247">
        <f>+D131+D135+D140+D145+D151+D152</f>
        <v>16530</v>
      </c>
      <c r="E153" s="241">
        <f>+E131+E135+E140+E145+E151+E152</f>
        <v>16530</v>
      </c>
      <c r="F153" s="886">
        <f t="shared" si="5"/>
        <v>0</v>
      </c>
      <c r="G153" s="889">
        <f>E153/D153</f>
        <v>1</v>
      </c>
    </row>
    <row r="154" spans="1:7" ht="13.5" customHeight="1" thickBot="1">
      <c r="A154" s="112" t="s">
        <v>16</v>
      </c>
      <c r="B154" s="393" t="s">
        <v>370</v>
      </c>
      <c r="C154" s="247">
        <f>+C130+C153</f>
        <v>1468304</v>
      </c>
      <c r="D154" s="247">
        <f>+D130+D153</f>
        <v>2277642</v>
      </c>
      <c r="E154" s="241">
        <f>+E130+E153</f>
        <v>1765518</v>
      </c>
      <c r="F154" s="886">
        <f t="shared" si="5"/>
        <v>-512124</v>
      </c>
      <c r="G154" s="889">
        <f>E154/D154</f>
        <v>0.7751516700166224</v>
      </c>
    </row>
    <row r="155" spans="3:4" ht="13.5" customHeight="1">
      <c r="C155" s="591"/>
      <c r="D155" s="591">
        <f>D89-D154</f>
        <v>0</v>
      </c>
    </row>
    <row r="156" ht="13.5" customHeight="1"/>
    <row r="157" ht="7.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13">
    <mergeCell ref="B6:B7"/>
    <mergeCell ref="C6:C7"/>
    <mergeCell ref="D6:E6"/>
    <mergeCell ref="A90:E90"/>
    <mergeCell ref="A92:A93"/>
    <mergeCell ref="B92:B93"/>
    <mergeCell ref="C92:C93"/>
    <mergeCell ref="D92:E92"/>
    <mergeCell ref="A1:E1"/>
    <mergeCell ref="A2:E2"/>
    <mergeCell ref="A3:E3"/>
    <mergeCell ref="A4:E4"/>
    <mergeCell ref="A6:A7"/>
  </mergeCells>
  <printOptions horizontalCentered="1"/>
  <pageMargins left="0.1968503937007874" right="0.1968503937007874" top="0.5905511811023623" bottom="0.5905511811023623" header="0.3937007874015748" footer="0.3937007874015748"/>
  <pageSetup fitToHeight="2" fitToWidth="1" horizontalDpi="600" verticalDpi="600" orientation="portrait" paperSize="9" scale="73" r:id="rId1"/>
  <headerFooter alignWithMargins="0">
    <oddFooter>&amp;C&amp;P</oddFooter>
  </headerFooter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">
      <selection activeCell="R32" sqref="R32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575"/>
      <c r="B1" s="660">
        <f>Z_TARTALOMJEGYZÉK!A1</f>
        <v>2019</v>
      </c>
      <c r="C1" s="660" t="s">
        <v>732</v>
      </c>
      <c r="D1" s="660"/>
      <c r="E1" s="575"/>
      <c r="F1" s="575"/>
      <c r="G1" s="575"/>
      <c r="H1" s="575"/>
      <c r="I1" s="575"/>
    </row>
    <row r="2" spans="1:9" ht="15.75">
      <c r="A2" s="896" t="s">
        <v>488</v>
      </c>
      <c r="B2" s="896"/>
      <c r="C2" s="896"/>
      <c r="D2" s="896"/>
      <c r="E2" s="896"/>
      <c r="F2" s="896"/>
      <c r="G2" s="575"/>
      <c r="H2" s="575"/>
      <c r="I2" s="575"/>
    </row>
    <row r="3" spans="1:9" ht="15.75">
      <c r="A3" s="899" t="s">
        <v>758</v>
      </c>
      <c r="B3" s="899"/>
      <c r="C3" s="899"/>
      <c r="D3" s="899"/>
      <c r="E3" s="899"/>
      <c r="F3" s="899"/>
      <c r="G3" s="899"/>
      <c r="H3" s="575"/>
      <c r="I3" s="575"/>
    </row>
    <row r="4" spans="1:9" ht="12.75">
      <c r="A4" s="575"/>
      <c r="B4" s="575"/>
      <c r="C4" s="575"/>
      <c r="D4" s="575"/>
      <c r="E4" s="575"/>
      <c r="F4" s="575"/>
      <c r="G4" s="575"/>
      <c r="H4" s="575"/>
      <c r="I4" s="575"/>
    </row>
    <row r="5" spans="1:9" ht="12.75">
      <c r="A5" s="575"/>
      <c r="B5" s="575"/>
      <c r="C5" s="575"/>
      <c r="D5" s="575"/>
      <c r="E5" s="575"/>
      <c r="F5" s="575"/>
      <c r="G5" s="575"/>
      <c r="H5" s="575"/>
      <c r="I5" s="575"/>
    </row>
    <row r="6" spans="1:9" ht="14.25">
      <c r="A6" s="661" t="s">
        <v>719</v>
      </c>
      <c r="B6" s="575"/>
      <c r="C6" s="575"/>
      <c r="D6" s="575"/>
      <c r="E6" s="575"/>
      <c r="F6" s="575"/>
      <c r="G6" s="575"/>
      <c r="H6" s="575"/>
      <c r="I6" s="575"/>
    </row>
    <row r="7" spans="1:9" ht="12.75">
      <c r="A7" s="662" t="s">
        <v>712</v>
      </c>
      <c r="B7" s="604" t="s">
        <v>713</v>
      </c>
      <c r="C7" s="575" t="s">
        <v>714</v>
      </c>
      <c r="D7" s="575" t="str">
        <f>CONCATENATE(Z_TARTALOMJEGYZÉK!A1+1,".")</f>
        <v>2020.</v>
      </c>
      <c r="E7" s="575" t="s">
        <v>715</v>
      </c>
      <c r="F7" s="604" t="s">
        <v>713</v>
      </c>
      <c r="G7" s="575" t="s">
        <v>716</v>
      </c>
      <c r="H7" s="575" t="s">
        <v>717</v>
      </c>
      <c r="I7" s="575"/>
    </row>
    <row r="8" spans="1:9" ht="12.75">
      <c r="A8" s="662"/>
      <c r="B8" s="663"/>
      <c r="C8" s="575"/>
      <c r="D8" s="575"/>
      <c r="E8" s="575"/>
      <c r="F8" s="663"/>
      <c r="G8" s="575"/>
      <c r="H8" s="575"/>
      <c r="I8" s="575"/>
    </row>
    <row r="9" spans="1:9" ht="12.75">
      <c r="A9" s="662"/>
      <c r="B9" s="663"/>
      <c r="C9" s="575"/>
      <c r="D9" s="575"/>
      <c r="E9" s="575"/>
      <c r="F9" s="663"/>
      <c r="G9" s="575"/>
      <c r="H9" s="575"/>
      <c r="I9" s="575"/>
    </row>
    <row r="10" spans="1:9" ht="13.5" thickBot="1">
      <c r="A10" s="575"/>
      <c r="B10" s="575"/>
      <c r="C10" s="575"/>
      <c r="D10" s="575"/>
      <c r="E10" s="575"/>
      <c r="F10" s="575"/>
      <c r="G10" s="575"/>
      <c r="H10" s="607" t="s">
        <v>742</v>
      </c>
      <c r="I10" s="575"/>
    </row>
    <row r="11" spans="1:13" ht="17.25" thickBot="1" thickTop="1">
      <c r="A11" s="897" t="s">
        <v>759</v>
      </c>
      <c r="B11" s="898"/>
      <c r="C11" s="898"/>
      <c r="D11" s="898"/>
      <c r="E11" s="898"/>
      <c r="F11" s="898"/>
      <c r="G11" s="898"/>
      <c r="H11" s="664" t="s">
        <v>748</v>
      </c>
      <c r="I11" s="575"/>
      <c r="J11" s="608" t="s">
        <v>11</v>
      </c>
      <c r="K11">
        <f>IF($H$11="Nem","",2)</f>
        <v>2</v>
      </c>
      <c r="L11" t="s">
        <v>743</v>
      </c>
      <c r="M11" t="str">
        <f>CONCATENATE(J11,K11,L11)</f>
        <v>6.2.</v>
      </c>
    </row>
    <row r="12" spans="1:9" ht="13.5" thickTop="1">
      <c r="A12" s="575"/>
      <c r="B12" s="575"/>
      <c r="C12" s="575"/>
      <c r="D12" s="575"/>
      <c r="E12" s="575"/>
      <c r="F12" s="575"/>
      <c r="G12" s="575"/>
      <c r="H12" s="575"/>
      <c r="I12" s="575"/>
    </row>
    <row r="13" spans="1:13" ht="14.25">
      <c r="A13" s="665" t="s">
        <v>489</v>
      </c>
      <c r="B13" s="900" t="s">
        <v>760</v>
      </c>
      <c r="C13" s="901"/>
      <c r="D13" s="901"/>
      <c r="E13" s="901"/>
      <c r="F13" s="901"/>
      <c r="G13" s="901"/>
      <c r="H13" s="575"/>
      <c r="I13" s="575"/>
      <c r="J13" s="608" t="s">
        <v>11</v>
      </c>
      <c r="K13">
        <f>IF(H11="Nem",2,3)</f>
        <v>3</v>
      </c>
      <c r="L13" t="s">
        <v>743</v>
      </c>
      <c r="M13" t="str">
        <f>CONCATENATE(J13,K13,L13)</f>
        <v>6.3.</v>
      </c>
    </row>
    <row r="14" spans="1:9" ht="14.25">
      <c r="A14" s="575"/>
      <c r="B14" s="605"/>
      <c r="C14" s="575"/>
      <c r="D14" s="575"/>
      <c r="E14" s="575"/>
      <c r="F14" s="575"/>
      <c r="G14" s="575"/>
      <c r="H14" s="575"/>
      <c r="I14" s="575"/>
    </row>
    <row r="15" spans="1:13" ht="14.25">
      <c r="A15" s="665" t="s">
        <v>490</v>
      </c>
      <c r="B15" s="900"/>
      <c r="C15" s="901"/>
      <c r="D15" s="901"/>
      <c r="E15" s="901"/>
      <c r="F15" s="901"/>
      <c r="G15" s="901"/>
      <c r="H15" s="575"/>
      <c r="I15" s="575"/>
      <c r="J15" s="608" t="s">
        <v>11</v>
      </c>
      <c r="K15">
        <f>K13+1</f>
        <v>4</v>
      </c>
      <c r="L15" t="s">
        <v>743</v>
      </c>
      <c r="M15" t="str">
        <f>CONCATENATE(J15,K15,L15)</f>
        <v>6.4.</v>
      </c>
    </row>
    <row r="16" spans="1:9" ht="14.25">
      <c r="A16" s="575"/>
      <c r="B16" s="605"/>
      <c r="C16" s="575"/>
      <c r="D16" s="575"/>
      <c r="E16" s="575"/>
      <c r="F16" s="575"/>
      <c r="G16" s="575"/>
      <c r="H16" s="575"/>
      <c r="I16" s="575"/>
    </row>
    <row r="17" spans="1:13" ht="14.25">
      <c r="A17" s="665" t="s">
        <v>491</v>
      </c>
      <c r="B17" s="900" t="s">
        <v>492</v>
      </c>
      <c r="C17" s="901"/>
      <c r="D17" s="901"/>
      <c r="E17" s="901"/>
      <c r="F17" s="901"/>
      <c r="G17" s="901"/>
      <c r="H17" s="575"/>
      <c r="I17" s="575"/>
      <c r="J17" s="608" t="s">
        <v>11</v>
      </c>
      <c r="K17">
        <f>K15+1</f>
        <v>5</v>
      </c>
      <c r="L17" t="s">
        <v>743</v>
      </c>
      <c r="M17" t="str">
        <f>CONCATENATE(J17,K17,L17)</f>
        <v>6.5.</v>
      </c>
    </row>
    <row r="18" spans="1:9" ht="14.25">
      <c r="A18" s="575"/>
      <c r="B18" s="605"/>
      <c r="C18" s="575"/>
      <c r="D18" s="575"/>
      <c r="E18" s="575"/>
      <c r="F18" s="575"/>
      <c r="G18" s="575"/>
      <c r="H18" s="575"/>
      <c r="I18" s="575"/>
    </row>
    <row r="19" spans="1:13" ht="14.25">
      <c r="A19" s="665" t="s">
        <v>493</v>
      </c>
      <c r="B19" s="900" t="s">
        <v>494</v>
      </c>
      <c r="C19" s="901"/>
      <c r="D19" s="901"/>
      <c r="E19" s="901"/>
      <c r="F19" s="901"/>
      <c r="G19" s="901"/>
      <c r="H19" s="575"/>
      <c r="I19" s="575"/>
      <c r="J19" s="608" t="s">
        <v>11</v>
      </c>
      <c r="K19">
        <f>K17+1</f>
        <v>6</v>
      </c>
      <c r="L19" t="s">
        <v>743</v>
      </c>
      <c r="M19" t="str">
        <f>CONCATENATE(J19,K19,L19)</f>
        <v>6.6.</v>
      </c>
    </row>
    <row r="20" spans="1:9" ht="14.25">
      <c r="A20" s="575"/>
      <c r="B20" s="605"/>
      <c r="C20" s="575"/>
      <c r="D20" s="575"/>
      <c r="E20" s="575"/>
      <c r="F20" s="575"/>
      <c r="G20" s="575"/>
      <c r="H20" s="575"/>
      <c r="I20" s="575"/>
    </row>
    <row r="21" spans="1:13" ht="14.25">
      <c r="A21" s="665" t="s">
        <v>495</v>
      </c>
      <c r="B21" s="900" t="s">
        <v>496</v>
      </c>
      <c r="C21" s="901"/>
      <c r="D21" s="901"/>
      <c r="E21" s="901"/>
      <c r="F21" s="901"/>
      <c r="G21" s="901"/>
      <c r="H21" s="575"/>
      <c r="I21" s="575"/>
      <c r="J21" s="608" t="s">
        <v>11</v>
      </c>
      <c r="K21">
        <f>K19+1</f>
        <v>7</v>
      </c>
      <c r="L21" t="s">
        <v>743</v>
      </c>
      <c r="M21" t="str">
        <f>CONCATENATE(J21,K21,L21)</f>
        <v>6.7.</v>
      </c>
    </row>
    <row r="22" spans="1:9" ht="14.25">
      <c r="A22" s="575"/>
      <c r="B22" s="605"/>
      <c r="C22" s="575"/>
      <c r="D22" s="575"/>
      <c r="E22" s="575"/>
      <c r="F22" s="575"/>
      <c r="G22" s="575"/>
      <c r="H22" s="575"/>
      <c r="I22" s="575"/>
    </row>
    <row r="23" spans="1:13" ht="14.25">
      <c r="A23" s="665" t="s">
        <v>497</v>
      </c>
      <c r="B23" s="900" t="s">
        <v>498</v>
      </c>
      <c r="C23" s="901"/>
      <c r="D23" s="901"/>
      <c r="E23" s="901"/>
      <c r="F23" s="901"/>
      <c r="G23" s="901"/>
      <c r="H23" s="575"/>
      <c r="I23" s="575"/>
      <c r="J23" s="608" t="s">
        <v>11</v>
      </c>
      <c r="K23">
        <f>K21+1</f>
        <v>8</v>
      </c>
      <c r="L23" t="s">
        <v>743</v>
      </c>
      <c r="M23" t="str">
        <f>CONCATENATE(J23,K23,L23)</f>
        <v>6.8.</v>
      </c>
    </row>
    <row r="24" spans="1:9" ht="14.25">
      <c r="A24" s="575"/>
      <c r="B24" s="605"/>
      <c r="C24" s="575"/>
      <c r="D24" s="575"/>
      <c r="E24" s="575"/>
      <c r="F24" s="575"/>
      <c r="G24" s="575"/>
      <c r="H24" s="575"/>
      <c r="I24" s="575"/>
    </row>
    <row r="25" spans="1:13" ht="14.25">
      <c r="A25" s="665" t="s">
        <v>499</v>
      </c>
      <c r="B25" s="900" t="s">
        <v>500</v>
      </c>
      <c r="C25" s="901"/>
      <c r="D25" s="901"/>
      <c r="E25" s="901"/>
      <c r="F25" s="901"/>
      <c r="G25" s="901"/>
      <c r="H25" s="575"/>
      <c r="I25" s="575"/>
      <c r="J25" s="608" t="s">
        <v>11</v>
      </c>
      <c r="K25">
        <f>K23+1</f>
        <v>9</v>
      </c>
      <c r="L25" t="s">
        <v>743</v>
      </c>
      <c r="M25" t="str">
        <f>CONCATENATE(J25,K25,L25)</f>
        <v>6.9.</v>
      </c>
    </row>
    <row r="26" spans="1:9" ht="14.25">
      <c r="A26" s="575"/>
      <c r="B26" s="605"/>
      <c r="C26" s="575"/>
      <c r="D26" s="575"/>
      <c r="E26" s="575"/>
      <c r="F26" s="575"/>
      <c r="G26" s="575"/>
      <c r="H26" s="575"/>
      <c r="I26" s="575"/>
    </row>
    <row r="27" spans="1:13" ht="14.25">
      <c r="A27" s="665" t="s">
        <v>501</v>
      </c>
      <c r="B27" s="900" t="s">
        <v>502</v>
      </c>
      <c r="C27" s="901"/>
      <c r="D27" s="901"/>
      <c r="E27" s="901"/>
      <c r="F27" s="901"/>
      <c r="G27" s="901"/>
      <c r="H27" s="575"/>
      <c r="I27" s="575"/>
      <c r="J27" s="608" t="s">
        <v>11</v>
      </c>
      <c r="K27">
        <f>K25+1</f>
        <v>10</v>
      </c>
      <c r="L27" t="s">
        <v>743</v>
      </c>
      <c r="M27" t="str">
        <f>CONCATENATE(J27,K27,L27)</f>
        <v>6.10.</v>
      </c>
    </row>
    <row r="28" spans="1:9" ht="14.25">
      <c r="A28" s="575"/>
      <c r="B28" s="605"/>
      <c r="C28" s="575"/>
      <c r="D28" s="575"/>
      <c r="E28" s="575"/>
      <c r="F28" s="575"/>
      <c r="G28" s="575"/>
      <c r="H28" s="575"/>
      <c r="I28" s="575"/>
    </row>
    <row r="29" spans="1:13" ht="14.25">
      <c r="A29" s="665" t="s">
        <v>501</v>
      </c>
      <c r="B29" s="900" t="s">
        <v>503</v>
      </c>
      <c r="C29" s="901"/>
      <c r="D29" s="901"/>
      <c r="E29" s="901"/>
      <c r="F29" s="901"/>
      <c r="G29" s="901"/>
      <c r="H29" s="575"/>
      <c r="I29" s="575"/>
      <c r="J29" s="608" t="s">
        <v>11</v>
      </c>
      <c r="K29">
        <f>K27+1</f>
        <v>11</v>
      </c>
      <c r="L29" t="s">
        <v>743</v>
      </c>
      <c r="M29" t="str">
        <f>CONCATENATE(J29,K29,L29)</f>
        <v>6.11.</v>
      </c>
    </row>
    <row r="30" spans="1:9" ht="14.25">
      <c r="A30" s="575"/>
      <c r="B30" s="605"/>
      <c r="C30" s="575"/>
      <c r="D30" s="575"/>
      <c r="E30" s="575"/>
      <c r="F30" s="575"/>
      <c r="G30" s="575"/>
      <c r="H30" s="575"/>
      <c r="I30" s="575"/>
    </row>
    <row r="31" spans="1:13" ht="14.25">
      <c r="A31" s="665" t="s">
        <v>504</v>
      </c>
      <c r="B31" s="900" t="s">
        <v>505</v>
      </c>
      <c r="C31" s="901"/>
      <c r="D31" s="901"/>
      <c r="E31" s="901"/>
      <c r="F31" s="901"/>
      <c r="G31" s="901"/>
      <c r="H31" s="575"/>
      <c r="I31" s="575"/>
      <c r="J31" s="608" t="s">
        <v>11</v>
      </c>
      <c r="K31">
        <f>K29+1</f>
        <v>12</v>
      </c>
      <c r="L31" t="s">
        <v>743</v>
      </c>
      <c r="M31" t="str">
        <f>CONCATENATE(J31,K31,L31)</f>
        <v>6.12.</v>
      </c>
    </row>
    <row r="32" spans="1:9" ht="12.75">
      <c r="A32" s="575"/>
      <c r="B32" s="575"/>
      <c r="C32" s="575"/>
      <c r="D32" s="575"/>
      <c r="E32" s="575"/>
      <c r="F32" s="575"/>
      <c r="G32" s="575"/>
      <c r="H32" s="575"/>
      <c r="I32" s="575"/>
    </row>
    <row r="33" spans="1:9" ht="12.75">
      <c r="A33" s="575"/>
      <c r="B33" s="575"/>
      <c r="C33" s="575"/>
      <c r="D33" s="575"/>
      <c r="E33" s="575"/>
      <c r="F33" s="575"/>
      <c r="G33" s="575"/>
      <c r="H33" s="575"/>
      <c r="I33" s="575"/>
    </row>
  </sheetData>
  <sheetProtection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conditionalFormatting sqref="A11">
    <cfRule type="expression" priority="1" dxfId="6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2"/>
  <sheetViews>
    <sheetView zoomScale="120" zoomScaleNormal="120" workbookViewId="0" topLeftCell="A1">
      <selection activeCell="I15" sqref="I15"/>
    </sheetView>
  </sheetViews>
  <sheetFormatPr defaultColWidth="9.00390625" defaultRowHeight="12.75"/>
  <cols>
    <col min="1" max="1" width="6.875" style="28" customWidth="1"/>
    <col min="2" max="2" width="39.8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924" t="s">
        <v>659</v>
      </c>
      <c r="B1" s="1005"/>
      <c r="C1" s="1005"/>
      <c r="D1" s="1005"/>
      <c r="E1" s="1005"/>
      <c r="F1" s="1005"/>
      <c r="G1" s="1005"/>
      <c r="H1" s="1005"/>
      <c r="I1" s="1005"/>
      <c r="J1" s="1005"/>
    </row>
    <row r="2" spans="1:11" ht="14.25" thickBot="1">
      <c r="A2" s="337"/>
      <c r="B2" s="338"/>
      <c r="C2" s="338"/>
      <c r="D2" s="338"/>
      <c r="E2" s="338"/>
      <c r="F2" s="338"/>
      <c r="G2" s="338"/>
      <c r="H2" s="338"/>
      <c r="I2" s="338"/>
      <c r="J2" s="346">
        <f>'Z_1.tájékoztató_t.'!E5</f>
        <v>0</v>
      </c>
      <c r="K2" s="923" t="str">
        <f>CONCATENATE("2. tájékoztató tábla ",Z_ALAPADATOK!A7," ",Z_ALAPADATOK!B7," ",Z_ALAPADATOK!C7," ",Z_ALAPADATOK!D7," ",Z_ALAPADATOK!E7," ",Z_ALAPADATOK!F7," ",Z_ALAPADATOK!G7," ",Z_ALAPADATOK!H7)</f>
        <v>2. tájékoztató tábla a … / 2020. ( … ) önkormányzati rendelethez</v>
      </c>
    </row>
    <row r="3" spans="1:11" s="397" customFormat="1" ht="26.25" customHeight="1">
      <c r="A3" s="1006" t="s">
        <v>51</v>
      </c>
      <c r="B3" s="1008" t="s">
        <v>527</v>
      </c>
      <c r="C3" s="1008" t="s">
        <v>528</v>
      </c>
      <c r="D3" s="1008" t="s">
        <v>529</v>
      </c>
      <c r="E3" s="1008" t="str">
        <f>CONCATENATE(Z_ALAPADATOK!B1,". évi teljesítés")</f>
        <v>2019. évi teljesítés</v>
      </c>
      <c r="F3" s="394" t="s">
        <v>530</v>
      </c>
      <c r="G3" s="395"/>
      <c r="H3" s="395"/>
      <c r="I3" s="396"/>
      <c r="J3" s="1011" t="s">
        <v>531</v>
      </c>
      <c r="K3" s="923"/>
    </row>
    <row r="4" spans="1:11" s="401" customFormat="1" ht="32.25" customHeight="1" thickBot="1">
      <c r="A4" s="1007"/>
      <c r="B4" s="1009"/>
      <c r="C4" s="1009"/>
      <c r="D4" s="1010"/>
      <c r="E4" s="1010"/>
      <c r="F4" s="398" t="str">
        <f>CONCATENATE(Z_ALAPADATOK!B1+1,".")</f>
        <v>2020.</v>
      </c>
      <c r="G4" s="399" t="str">
        <f>CONCATENATE(Z_ALAPADATOK!B1+2,".")</f>
        <v>2021.</v>
      </c>
      <c r="H4" s="399" t="str">
        <f>CONCATENATE(Z_ALAPADATOK!B1+3,".")</f>
        <v>2022.</v>
      </c>
      <c r="I4" s="400" t="str">
        <f>CONCATENATE(Z_ALAPADATOK!B1+3,". után")</f>
        <v>2022. után</v>
      </c>
      <c r="J4" s="1012"/>
      <c r="K4" s="923"/>
    </row>
    <row r="5" spans="1:11" s="406" customFormat="1" ht="13.5" customHeight="1" thickBot="1">
      <c r="A5" s="402" t="s">
        <v>382</v>
      </c>
      <c r="B5" s="403" t="s">
        <v>532</v>
      </c>
      <c r="C5" s="404" t="s">
        <v>384</v>
      </c>
      <c r="D5" s="404" t="s">
        <v>386</v>
      </c>
      <c r="E5" s="404" t="s">
        <v>385</v>
      </c>
      <c r="F5" s="404" t="s">
        <v>387</v>
      </c>
      <c r="G5" s="404" t="s">
        <v>388</v>
      </c>
      <c r="H5" s="404" t="s">
        <v>389</v>
      </c>
      <c r="I5" s="404" t="s">
        <v>419</v>
      </c>
      <c r="J5" s="405" t="s">
        <v>533</v>
      </c>
      <c r="K5" s="923"/>
    </row>
    <row r="6" spans="1:11" ht="33.75" customHeight="1">
      <c r="A6" s="407" t="s">
        <v>6</v>
      </c>
      <c r="B6" s="408" t="s">
        <v>534</v>
      </c>
      <c r="C6" s="409"/>
      <c r="D6" s="410">
        <f aca="true" t="shared" si="0" ref="D6:I6">SUM(D7:D8)</f>
        <v>0</v>
      </c>
      <c r="E6" s="410">
        <f t="shared" si="0"/>
        <v>0</v>
      </c>
      <c r="F6" s="410">
        <f t="shared" si="0"/>
        <v>0</v>
      </c>
      <c r="G6" s="410">
        <f t="shared" si="0"/>
        <v>0</v>
      </c>
      <c r="H6" s="410">
        <f t="shared" si="0"/>
        <v>0</v>
      </c>
      <c r="I6" s="411">
        <f t="shared" si="0"/>
        <v>0</v>
      </c>
      <c r="J6" s="412">
        <f aca="true" t="shared" si="1" ref="J6:J21">SUM(F6:I6)</f>
        <v>0</v>
      </c>
      <c r="K6" s="923"/>
    </row>
    <row r="7" spans="1:11" ht="21" customHeight="1">
      <c r="A7" s="413" t="s">
        <v>7</v>
      </c>
      <c r="B7" s="414" t="s">
        <v>535</v>
      </c>
      <c r="C7" s="415"/>
      <c r="D7" s="21"/>
      <c r="E7" s="21"/>
      <c r="F7" s="21"/>
      <c r="G7" s="21"/>
      <c r="H7" s="21"/>
      <c r="I7" s="416"/>
      <c r="J7" s="417">
        <f t="shared" si="1"/>
        <v>0</v>
      </c>
      <c r="K7" s="923"/>
    </row>
    <row r="8" spans="1:11" ht="21" customHeight="1">
      <c r="A8" s="413" t="s">
        <v>8</v>
      </c>
      <c r="B8" s="414" t="s">
        <v>535</v>
      </c>
      <c r="C8" s="415"/>
      <c r="D8" s="21"/>
      <c r="E8" s="21"/>
      <c r="F8" s="21"/>
      <c r="G8" s="21"/>
      <c r="H8" s="21"/>
      <c r="I8" s="416"/>
      <c r="J8" s="417">
        <f t="shared" si="1"/>
        <v>0</v>
      </c>
      <c r="K8" s="923"/>
    </row>
    <row r="9" spans="1:11" ht="33" customHeight="1">
      <c r="A9" s="413" t="s">
        <v>9</v>
      </c>
      <c r="B9" s="418" t="s">
        <v>536</v>
      </c>
      <c r="C9" s="419"/>
      <c r="D9" s="420">
        <f aca="true" t="shared" si="2" ref="D9:I9">SUM(D10:D11)</f>
        <v>0</v>
      </c>
      <c r="E9" s="420">
        <f t="shared" si="2"/>
        <v>0</v>
      </c>
      <c r="F9" s="420">
        <f t="shared" si="2"/>
        <v>0</v>
      </c>
      <c r="G9" s="420">
        <f t="shared" si="2"/>
        <v>0</v>
      </c>
      <c r="H9" s="420">
        <f t="shared" si="2"/>
        <v>0</v>
      </c>
      <c r="I9" s="421">
        <f t="shared" si="2"/>
        <v>0</v>
      </c>
      <c r="J9" s="422">
        <f t="shared" si="1"/>
        <v>0</v>
      </c>
      <c r="K9" s="923"/>
    </row>
    <row r="10" spans="1:11" ht="21" customHeight="1">
      <c r="A10" s="413" t="s">
        <v>10</v>
      </c>
      <c r="B10" s="414" t="s">
        <v>535</v>
      </c>
      <c r="C10" s="415"/>
      <c r="D10" s="21"/>
      <c r="E10" s="21"/>
      <c r="F10" s="21"/>
      <c r="G10" s="21"/>
      <c r="H10" s="21"/>
      <c r="I10" s="416"/>
      <c r="J10" s="417">
        <f t="shared" si="1"/>
        <v>0</v>
      </c>
      <c r="K10" s="923"/>
    </row>
    <row r="11" spans="1:11" ht="18" customHeight="1">
      <c r="A11" s="413" t="s">
        <v>11</v>
      </c>
      <c r="B11" s="414" t="s">
        <v>535</v>
      </c>
      <c r="C11" s="415"/>
      <c r="D11" s="21"/>
      <c r="E11" s="21"/>
      <c r="F11" s="21"/>
      <c r="G11" s="21"/>
      <c r="H11" s="21"/>
      <c r="I11" s="416"/>
      <c r="J11" s="417">
        <f t="shared" si="1"/>
        <v>0</v>
      </c>
      <c r="K11" s="923"/>
    </row>
    <row r="12" spans="1:11" ht="21" customHeight="1">
      <c r="A12" s="413" t="s">
        <v>12</v>
      </c>
      <c r="B12" s="423" t="s">
        <v>537</v>
      </c>
      <c r="C12" s="419"/>
      <c r="D12" s="420">
        <f>SUM(D13:D15)</f>
        <v>1273869</v>
      </c>
      <c r="E12" s="420">
        <f>SUM(E13:E15)</f>
        <v>826751</v>
      </c>
      <c r="F12" s="420">
        <f>SUM(F13:F15)</f>
        <v>389591</v>
      </c>
      <c r="G12" s="420">
        <f>SUM(G16:G16)</f>
        <v>0</v>
      </c>
      <c r="H12" s="420">
        <f>SUM(H16:H16)</f>
        <v>0</v>
      </c>
      <c r="I12" s="421">
        <f>SUM(I16:I16)</f>
        <v>0</v>
      </c>
      <c r="J12" s="422">
        <f t="shared" si="1"/>
        <v>389591</v>
      </c>
      <c r="K12" s="923"/>
    </row>
    <row r="13" spans="1:11" ht="21" customHeight="1">
      <c r="A13" s="413"/>
      <c r="B13" s="839" t="s">
        <v>771</v>
      </c>
      <c r="C13" s="419"/>
      <c r="D13" s="841">
        <v>235586</v>
      </c>
      <c r="E13" s="420">
        <v>177681</v>
      </c>
      <c r="F13" s="420">
        <v>17870</v>
      </c>
      <c r="G13" s="420"/>
      <c r="H13" s="420"/>
      <c r="I13" s="421"/>
      <c r="J13" s="422"/>
      <c r="K13" s="923"/>
    </row>
    <row r="14" spans="1:11" ht="21" customHeight="1">
      <c r="A14" s="413"/>
      <c r="B14" s="839" t="s">
        <v>772</v>
      </c>
      <c r="C14" s="419"/>
      <c r="D14" s="841">
        <v>521352</v>
      </c>
      <c r="E14" s="420">
        <v>182653</v>
      </c>
      <c r="F14" s="420">
        <v>321207</v>
      </c>
      <c r="G14" s="420"/>
      <c r="H14" s="420"/>
      <c r="I14" s="421"/>
      <c r="J14" s="422"/>
      <c r="K14" s="923"/>
    </row>
    <row r="15" spans="1:11" ht="28.5" customHeight="1">
      <c r="A15" s="413"/>
      <c r="B15" s="840" t="s">
        <v>774</v>
      </c>
      <c r="C15" s="419"/>
      <c r="D15" s="841">
        <v>516931</v>
      </c>
      <c r="E15" s="420">
        <v>466417</v>
      </c>
      <c r="F15" s="420">
        <v>50514</v>
      </c>
      <c r="G15" s="420"/>
      <c r="H15" s="420"/>
      <c r="I15" s="421"/>
      <c r="J15" s="422"/>
      <c r="K15" s="923"/>
    </row>
    <row r="16" spans="1:11" ht="21" customHeight="1">
      <c r="A16" s="413" t="s">
        <v>13</v>
      </c>
      <c r="B16" s="414" t="s">
        <v>535</v>
      </c>
      <c r="C16" s="415"/>
      <c r="D16" s="21"/>
      <c r="E16" s="21"/>
      <c r="F16" s="21"/>
      <c r="G16" s="21"/>
      <c r="H16" s="21"/>
      <c r="I16" s="416"/>
      <c r="J16" s="417">
        <f t="shared" si="1"/>
        <v>0</v>
      </c>
      <c r="K16" s="923"/>
    </row>
    <row r="17" spans="1:11" ht="21" customHeight="1">
      <c r="A17" s="413" t="s">
        <v>14</v>
      </c>
      <c r="B17" s="423" t="s">
        <v>538</v>
      </c>
      <c r="C17" s="419"/>
      <c r="D17" s="420">
        <f aca="true" t="shared" si="3" ref="D17:I17">SUM(D18:D18)</f>
        <v>0</v>
      </c>
      <c r="E17" s="420">
        <f t="shared" si="3"/>
        <v>0</v>
      </c>
      <c r="F17" s="420">
        <f t="shared" si="3"/>
        <v>0</v>
      </c>
      <c r="G17" s="420">
        <f t="shared" si="3"/>
        <v>0</v>
      </c>
      <c r="H17" s="420">
        <f t="shared" si="3"/>
        <v>0</v>
      </c>
      <c r="I17" s="421">
        <f t="shared" si="3"/>
        <v>0</v>
      </c>
      <c r="J17" s="422">
        <f t="shared" si="1"/>
        <v>0</v>
      </c>
      <c r="K17" s="923"/>
    </row>
    <row r="18" spans="1:11" ht="21" customHeight="1">
      <c r="A18" s="413" t="s">
        <v>15</v>
      </c>
      <c r="B18" s="414" t="s">
        <v>535</v>
      </c>
      <c r="C18" s="415"/>
      <c r="D18" s="21"/>
      <c r="E18" s="21"/>
      <c r="F18" s="21"/>
      <c r="G18" s="21"/>
      <c r="H18" s="21"/>
      <c r="I18" s="416"/>
      <c r="J18" s="417">
        <f t="shared" si="1"/>
        <v>0</v>
      </c>
      <c r="K18" s="923"/>
    </row>
    <row r="19" spans="1:11" ht="21" customHeight="1">
      <c r="A19" s="424" t="s">
        <v>16</v>
      </c>
      <c r="B19" s="425" t="s">
        <v>539</v>
      </c>
      <c r="C19" s="426"/>
      <c r="D19" s="427">
        <f aca="true" t="shared" si="4" ref="D19:I19">SUM(D20:D21)</f>
        <v>0</v>
      </c>
      <c r="E19" s="427">
        <f t="shared" si="4"/>
        <v>0</v>
      </c>
      <c r="F19" s="427">
        <f t="shared" si="4"/>
        <v>0</v>
      </c>
      <c r="G19" s="427">
        <f t="shared" si="4"/>
        <v>0</v>
      </c>
      <c r="H19" s="427">
        <f t="shared" si="4"/>
        <v>0</v>
      </c>
      <c r="I19" s="428">
        <f t="shared" si="4"/>
        <v>0</v>
      </c>
      <c r="J19" s="422">
        <f t="shared" si="1"/>
        <v>0</v>
      </c>
      <c r="K19" s="923"/>
    </row>
    <row r="20" spans="1:11" ht="21" customHeight="1">
      <c r="A20" s="424" t="s">
        <v>17</v>
      </c>
      <c r="B20" s="414" t="s">
        <v>535</v>
      </c>
      <c r="C20" s="415"/>
      <c r="D20" s="21"/>
      <c r="E20" s="21"/>
      <c r="F20" s="21"/>
      <c r="G20" s="21"/>
      <c r="H20" s="21"/>
      <c r="I20" s="416"/>
      <c r="J20" s="417">
        <f t="shared" si="1"/>
        <v>0</v>
      </c>
      <c r="K20" s="923"/>
    </row>
    <row r="21" spans="1:11" ht="21" customHeight="1" thickBot="1">
      <c r="A21" s="424" t="s">
        <v>18</v>
      </c>
      <c r="B21" s="414" t="s">
        <v>535</v>
      </c>
      <c r="C21" s="429"/>
      <c r="D21" s="430"/>
      <c r="E21" s="430"/>
      <c r="F21" s="430"/>
      <c r="G21" s="430"/>
      <c r="H21" s="430"/>
      <c r="I21" s="431"/>
      <c r="J21" s="417">
        <f t="shared" si="1"/>
        <v>0</v>
      </c>
      <c r="K21" s="923"/>
    </row>
    <row r="22" spans="1:11" ht="21" customHeight="1" thickBot="1">
      <c r="A22" s="432" t="s">
        <v>19</v>
      </c>
      <c r="B22" s="433" t="s">
        <v>540</v>
      </c>
      <c r="C22" s="434"/>
      <c r="D22" s="435">
        <f aca="true" t="shared" si="5" ref="D22:J22">D6+D9+D12+D17+D19</f>
        <v>1273869</v>
      </c>
      <c r="E22" s="435">
        <f t="shared" si="5"/>
        <v>826751</v>
      </c>
      <c r="F22" s="435">
        <f t="shared" si="5"/>
        <v>389591</v>
      </c>
      <c r="G22" s="435">
        <f t="shared" si="5"/>
        <v>0</v>
      </c>
      <c r="H22" s="435">
        <f t="shared" si="5"/>
        <v>0</v>
      </c>
      <c r="I22" s="436">
        <f t="shared" si="5"/>
        <v>0</v>
      </c>
      <c r="J22" s="437">
        <f t="shared" si="5"/>
        <v>389591</v>
      </c>
      <c r="K22" s="923"/>
    </row>
  </sheetData>
  <sheetProtection/>
  <mergeCells count="8">
    <mergeCell ref="A1:J1"/>
    <mergeCell ref="K2:K22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N10" sqref="N10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924" t="s">
        <v>720</v>
      </c>
      <c r="B1" s="1005"/>
      <c r="C1" s="1005"/>
      <c r="D1" s="1005"/>
      <c r="E1" s="1005"/>
      <c r="F1" s="1005"/>
      <c r="G1" s="1005"/>
      <c r="H1" s="1005"/>
    </row>
    <row r="2" spans="1:8" ht="12.75">
      <c r="A2" s="337"/>
      <c r="B2" s="338"/>
      <c r="C2" s="338"/>
      <c r="D2" s="338"/>
      <c r="E2" s="338"/>
      <c r="F2" s="338"/>
      <c r="G2" s="338"/>
      <c r="H2" s="338"/>
    </row>
    <row r="3" spans="1:9" s="438" customFormat="1" ht="15.75" thickBot="1">
      <c r="A3" s="552"/>
      <c r="B3" s="336"/>
      <c r="C3" s="336"/>
      <c r="D3" s="336"/>
      <c r="E3" s="336"/>
      <c r="F3" s="336"/>
      <c r="G3" s="336"/>
      <c r="H3" s="346">
        <f>'Z_2.tájékoztató_t.'!J2</f>
        <v>0</v>
      </c>
      <c r="I3" s="1013" t="str">
        <f>CONCATENATE("3. tájékoztató tábla ",Z_ALAPADATOK!A7," ",Z_ALAPADATOK!B7," ",Z_ALAPADATOK!C7," ",Z_ALAPADATOK!D7," ",Z_ALAPADATOK!E7," ",Z_ALAPADATOK!F7," ",Z_ALAPADATOK!G7," ",Z_ALAPADATOK!H7)</f>
        <v>3. tájékoztató tábla a … / 2020. ( … ) önkormányzati rendelethez</v>
      </c>
    </row>
    <row r="4" spans="1:9" s="397" customFormat="1" ht="26.25" customHeight="1">
      <c r="A4" s="1014" t="s">
        <v>51</v>
      </c>
      <c r="B4" s="1016" t="s">
        <v>541</v>
      </c>
      <c r="C4" s="1014" t="s">
        <v>542</v>
      </c>
      <c r="D4" s="1014" t="s">
        <v>543</v>
      </c>
      <c r="E4" s="1018" t="str">
        <f>CONCATENATE("Hitel, kölcsön állomány ",Z_ALAPADATOK!B1,". dec. 31-én")</f>
        <v>Hitel, kölcsön állomány 2019. dec. 31-én</v>
      </c>
      <c r="F4" s="1020" t="s">
        <v>544</v>
      </c>
      <c r="G4" s="1021"/>
      <c r="H4" s="1022" t="str">
        <f>CONCATENATE(G5," után")</f>
        <v>2021. után</v>
      </c>
      <c r="I4" s="1013"/>
    </row>
    <row r="5" spans="1:9" s="401" customFormat="1" ht="40.5" customHeight="1" thickBot="1">
      <c r="A5" s="1015"/>
      <c r="B5" s="1017"/>
      <c r="C5" s="1017"/>
      <c r="D5" s="1015"/>
      <c r="E5" s="1019"/>
      <c r="F5" s="553" t="str">
        <f>'Z_2.tájékoztató_t.'!F4</f>
        <v>2020.</v>
      </c>
      <c r="G5" s="554" t="str">
        <f>'Z_2.tájékoztató_t.'!G4</f>
        <v>2021.</v>
      </c>
      <c r="H5" s="1023"/>
      <c r="I5" s="1013"/>
    </row>
    <row r="6" spans="1:9" s="439" customFormat="1" ht="12.75" customHeight="1" thickBot="1">
      <c r="A6" s="555" t="s">
        <v>382</v>
      </c>
      <c r="B6" s="556" t="s">
        <v>383</v>
      </c>
      <c r="C6" s="556" t="s">
        <v>384</v>
      </c>
      <c r="D6" s="557" t="s">
        <v>386</v>
      </c>
      <c r="E6" s="555" t="s">
        <v>385</v>
      </c>
      <c r="F6" s="557" t="s">
        <v>387</v>
      </c>
      <c r="G6" s="557" t="s">
        <v>388</v>
      </c>
      <c r="H6" s="313" t="s">
        <v>389</v>
      </c>
      <c r="I6" s="1013"/>
    </row>
    <row r="7" spans="1:9" ht="22.5" customHeight="1" thickBot="1">
      <c r="A7" s="440" t="s">
        <v>6</v>
      </c>
      <c r="B7" s="441" t="s">
        <v>545</v>
      </c>
      <c r="C7" s="442"/>
      <c r="D7" s="443"/>
      <c r="E7" s="444">
        <f>SUM(E8:E13)</f>
        <v>0</v>
      </c>
      <c r="F7" s="445">
        <f>SUM(F8:F13)</f>
        <v>0</v>
      </c>
      <c r="G7" s="445">
        <f>SUM(G8:G13)</f>
        <v>0</v>
      </c>
      <c r="H7" s="446">
        <f>SUM(H8:H13)</f>
        <v>0</v>
      </c>
      <c r="I7" s="1013"/>
    </row>
    <row r="8" spans="1:9" ht="22.5" customHeight="1">
      <c r="A8" s="447" t="s">
        <v>7</v>
      </c>
      <c r="B8" s="448" t="s">
        <v>535</v>
      </c>
      <c r="C8" s="449"/>
      <c r="D8" s="450"/>
      <c r="E8" s="451"/>
      <c r="F8" s="21"/>
      <c r="G8" s="21"/>
      <c r="H8" s="452"/>
      <c r="I8" s="1013"/>
    </row>
    <row r="9" spans="1:9" ht="22.5" customHeight="1">
      <c r="A9" s="447" t="s">
        <v>8</v>
      </c>
      <c r="B9" s="448" t="s">
        <v>535</v>
      </c>
      <c r="C9" s="449"/>
      <c r="D9" s="450"/>
      <c r="E9" s="451"/>
      <c r="F9" s="21"/>
      <c r="G9" s="21"/>
      <c r="H9" s="452"/>
      <c r="I9" s="1013"/>
    </row>
    <row r="10" spans="1:9" ht="22.5" customHeight="1">
      <c r="A10" s="447" t="s">
        <v>9</v>
      </c>
      <c r="B10" s="448" t="s">
        <v>535</v>
      </c>
      <c r="C10" s="449"/>
      <c r="D10" s="450"/>
      <c r="E10" s="451"/>
      <c r="F10" s="21"/>
      <c r="G10" s="21"/>
      <c r="H10" s="452"/>
      <c r="I10" s="1013"/>
    </row>
    <row r="11" spans="1:9" ht="22.5" customHeight="1">
      <c r="A11" s="447" t="s">
        <v>10</v>
      </c>
      <c r="B11" s="448" t="s">
        <v>535</v>
      </c>
      <c r="C11" s="449"/>
      <c r="D11" s="450"/>
      <c r="E11" s="451"/>
      <c r="F11" s="21"/>
      <c r="G11" s="21"/>
      <c r="H11" s="452"/>
      <c r="I11" s="1013"/>
    </row>
    <row r="12" spans="1:9" ht="22.5" customHeight="1">
      <c r="A12" s="447" t="s">
        <v>11</v>
      </c>
      <c r="B12" s="448" t="s">
        <v>535</v>
      </c>
      <c r="C12" s="449"/>
      <c r="D12" s="450"/>
      <c r="E12" s="451"/>
      <c r="F12" s="21"/>
      <c r="G12" s="21"/>
      <c r="H12" s="452"/>
      <c r="I12" s="1013"/>
    </row>
    <row r="13" spans="1:9" ht="22.5" customHeight="1" thickBot="1">
      <c r="A13" s="447" t="s">
        <v>12</v>
      </c>
      <c r="B13" s="448" t="s">
        <v>535</v>
      </c>
      <c r="C13" s="449"/>
      <c r="D13" s="450"/>
      <c r="E13" s="451"/>
      <c r="F13" s="21"/>
      <c r="G13" s="21"/>
      <c r="H13" s="452"/>
      <c r="I13" s="1013"/>
    </row>
    <row r="14" spans="1:9" ht="22.5" customHeight="1" thickBot="1">
      <c r="A14" s="440" t="s">
        <v>13</v>
      </c>
      <c r="B14" s="441" t="s">
        <v>546</v>
      </c>
      <c r="C14" s="453"/>
      <c r="D14" s="454"/>
      <c r="E14" s="444">
        <f>SUM(E15:E20)</f>
        <v>0</v>
      </c>
      <c r="F14" s="445">
        <f>SUM(F15:F20)</f>
        <v>0</v>
      </c>
      <c r="G14" s="445">
        <f>SUM(G15:G20)</f>
        <v>0</v>
      </c>
      <c r="H14" s="446">
        <f>SUM(H15:H20)</f>
        <v>0</v>
      </c>
      <c r="I14" s="1013"/>
    </row>
    <row r="15" spans="1:9" ht="22.5" customHeight="1">
      <c r="A15" s="447" t="s">
        <v>14</v>
      </c>
      <c r="B15" s="448" t="s">
        <v>535</v>
      </c>
      <c r="C15" s="449"/>
      <c r="D15" s="450"/>
      <c r="E15" s="451"/>
      <c r="F15" s="21"/>
      <c r="G15" s="21"/>
      <c r="H15" s="452"/>
      <c r="I15" s="1013"/>
    </row>
    <row r="16" spans="1:9" ht="22.5" customHeight="1">
      <c r="A16" s="447" t="s">
        <v>15</v>
      </c>
      <c r="B16" s="448" t="s">
        <v>535</v>
      </c>
      <c r="C16" s="449"/>
      <c r="D16" s="450"/>
      <c r="E16" s="451"/>
      <c r="F16" s="21"/>
      <c r="G16" s="21"/>
      <c r="H16" s="452"/>
      <c r="I16" s="1013"/>
    </row>
    <row r="17" spans="1:9" ht="22.5" customHeight="1">
      <c r="A17" s="447" t="s">
        <v>16</v>
      </c>
      <c r="B17" s="448" t="s">
        <v>535</v>
      </c>
      <c r="C17" s="449"/>
      <c r="D17" s="450"/>
      <c r="E17" s="451"/>
      <c r="F17" s="21"/>
      <c r="G17" s="21"/>
      <c r="H17" s="452"/>
      <c r="I17" s="1013"/>
    </row>
    <row r="18" spans="1:9" ht="22.5" customHeight="1">
      <c r="A18" s="447" t="s">
        <v>17</v>
      </c>
      <c r="B18" s="448" t="s">
        <v>535</v>
      </c>
      <c r="C18" s="449"/>
      <c r="D18" s="450"/>
      <c r="E18" s="451"/>
      <c r="F18" s="21"/>
      <c r="G18" s="21"/>
      <c r="H18" s="452"/>
      <c r="I18" s="1013"/>
    </row>
    <row r="19" spans="1:9" ht="22.5" customHeight="1">
      <c r="A19" s="447" t="s">
        <v>18</v>
      </c>
      <c r="B19" s="448" t="s">
        <v>535</v>
      </c>
      <c r="C19" s="449"/>
      <c r="D19" s="450"/>
      <c r="E19" s="451"/>
      <c r="F19" s="21"/>
      <c r="G19" s="21"/>
      <c r="H19" s="452"/>
      <c r="I19" s="1013"/>
    </row>
    <row r="20" spans="1:9" ht="22.5" customHeight="1" thickBot="1">
      <c r="A20" s="447" t="s">
        <v>19</v>
      </c>
      <c r="B20" s="448" t="s">
        <v>535</v>
      </c>
      <c r="C20" s="449"/>
      <c r="D20" s="450"/>
      <c r="E20" s="451"/>
      <c r="F20" s="21"/>
      <c r="G20" s="21"/>
      <c r="H20" s="452"/>
      <c r="I20" s="1013"/>
    </row>
    <row r="21" spans="1:9" ht="22.5" customHeight="1" thickBot="1">
      <c r="A21" s="440" t="s">
        <v>20</v>
      </c>
      <c r="B21" s="441" t="s">
        <v>547</v>
      </c>
      <c r="C21" s="442"/>
      <c r="D21" s="443"/>
      <c r="E21" s="444">
        <f>E7+E14</f>
        <v>0</v>
      </c>
      <c r="F21" s="445">
        <f>F7+F14</f>
        <v>0</v>
      </c>
      <c r="G21" s="445">
        <f>G7+G14</f>
        <v>0</v>
      </c>
      <c r="H21" s="446">
        <f>H7+H14</f>
        <v>0</v>
      </c>
      <c r="I21" s="1013"/>
    </row>
    <row r="22" ht="19.5" customHeight="1"/>
  </sheetData>
  <sheetProtection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P17" sqref="P17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1031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2019. december 31-én</v>
      </c>
      <c r="B1" s="1032"/>
      <c r="C1" s="1032"/>
      <c r="D1" s="1032"/>
      <c r="E1" s="1032"/>
      <c r="F1" s="1032"/>
      <c r="G1" s="1032"/>
      <c r="H1" s="1032"/>
      <c r="I1" s="1032"/>
      <c r="J1" s="1013" t="str">
        <f>CONCATENATE("4. tájékoztató tábla ",Z_ALAPADATOK!A7," ",Z_ALAPADATOK!B7," ",Z_ALAPADATOK!C7," ",Z_ALAPADATOK!D7," ",Z_ALAPADATOK!E7," ",Z_ALAPADATOK!F7," ",Z_ALAPADATOK!G7," ",Z_ALAPADATOK!H7)</f>
        <v>4. tájékoztató tábla a … / 2020. ( … ) önkormányzati rendelethez</v>
      </c>
    </row>
    <row r="2" spans="1:10" ht="14.25" thickBot="1">
      <c r="A2" s="67"/>
      <c r="B2" s="67"/>
      <c r="C2" s="67"/>
      <c r="D2" s="67"/>
      <c r="E2" s="67"/>
      <c r="F2" s="67"/>
      <c r="G2" s="67"/>
      <c r="H2" s="1033">
        <f>'Z_3.tájékoztató_t.'!H3</f>
        <v>0</v>
      </c>
      <c r="I2" s="1033"/>
      <c r="J2" s="1013"/>
    </row>
    <row r="3" spans="1:10" ht="13.5" thickBot="1">
      <c r="A3" s="1034" t="s">
        <v>4</v>
      </c>
      <c r="B3" s="1036" t="s">
        <v>548</v>
      </c>
      <c r="C3" s="1038" t="s">
        <v>549</v>
      </c>
      <c r="D3" s="1040" t="s">
        <v>550</v>
      </c>
      <c r="E3" s="1041"/>
      <c r="F3" s="1041"/>
      <c r="G3" s="1041"/>
      <c r="H3" s="1041"/>
      <c r="I3" s="1042" t="s">
        <v>752</v>
      </c>
      <c r="J3" s="1013"/>
    </row>
    <row r="4" spans="1:10" s="45" customFormat="1" ht="42" customHeight="1" thickBot="1">
      <c r="A4" s="1035"/>
      <c r="B4" s="1037"/>
      <c r="C4" s="1039"/>
      <c r="D4" s="331" t="s">
        <v>551</v>
      </c>
      <c r="E4" s="331" t="s">
        <v>552</v>
      </c>
      <c r="F4" s="331" t="s">
        <v>553</v>
      </c>
      <c r="G4" s="558" t="s">
        <v>554</v>
      </c>
      <c r="H4" s="558" t="s">
        <v>555</v>
      </c>
      <c r="I4" s="1043"/>
      <c r="J4" s="1013"/>
    </row>
    <row r="5" spans="1:10" s="45" customFormat="1" ht="12" customHeight="1" thickBot="1">
      <c r="A5" s="360" t="s">
        <v>382</v>
      </c>
      <c r="B5" s="361" t="s">
        <v>383</v>
      </c>
      <c r="C5" s="361" t="s">
        <v>384</v>
      </c>
      <c r="D5" s="361" t="s">
        <v>386</v>
      </c>
      <c r="E5" s="361" t="s">
        <v>385</v>
      </c>
      <c r="F5" s="361" t="s">
        <v>387</v>
      </c>
      <c r="G5" s="361" t="s">
        <v>388</v>
      </c>
      <c r="H5" s="361" t="s">
        <v>556</v>
      </c>
      <c r="I5" s="363" t="s">
        <v>557</v>
      </c>
      <c r="J5" s="1013"/>
    </row>
    <row r="6" spans="1:10" s="45" customFormat="1" ht="18" customHeight="1">
      <c r="A6" s="1044" t="s">
        <v>558</v>
      </c>
      <c r="B6" s="1045"/>
      <c r="C6" s="1045"/>
      <c r="D6" s="1045"/>
      <c r="E6" s="1045"/>
      <c r="F6" s="1045"/>
      <c r="G6" s="1045"/>
      <c r="H6" s="1045"/>
      <c r="I6" s="1046"/>
      <c r="J6" s="1013"/>
    </row>
    <row r="7" spans="1:10" ht="15.75" customHeight="1">
      <c r="A7" s="96" t="s">
        <v>6</v>
      </c>
      <c r="B7" s="77" t="s">
        <v>559</v>
      </c>
      <c r="C7" s="68"/>
      <c r="D7" s="68"/>
      <c r="E7" s="68"/>
      <c r="F7" s="68"/>
      <c r="G7" s="455"/>
      <c r="H7" s="456">
        <f aca="true" t="shared" si="0" ref="H7:H13">SUM(D7:G7)</f>
        <v>0</v>
      </c>
      <c r="I7" s="97">
        <f aca="true" t="shared" si="1" ref="I7:I13">C7+H7</f>
        <v>0</v>
      </c>
      <c r="J7" s="1013"/>
    </row>
    <row r="8" spans="1:10" ht="22.5">
      <c r="A8" s="96" t="s">
        <v>7</v>
      </c>
      <c r="B8" s="77" t="s">
        <v>137</v>
      </c>
      <c r="C8" s="68">
        <v>16530000</v>
      </c>
      <c r="D8" s="68"/>
      <c r="E8" s="68"/>
      <c r="F8" s="68"/>
      <c r="G8" s="455"/>
      <c r="H8" s="456">
        <f t="shared" si="0"/>
        <v>0</v>
      </c>
      <c r="I8" s="97">
        <f t="shared" si="1"/>
        <v>16530000</v>
      </c>
      <c r="J8" s="1013"/>
    </row>
    <row r="9" spans="1:10" ht="22.5">
      <c r="A9" s="96" t="s">
        <v>8</v>
      </c>
      <c r="B9" s="77" t="s">
        <v>138</v>
      </c>
      <c r="C9" s="68"/>
      <c r="D9" s="68"/>
      <c r="E9" s="68"/>
      <c r="F9" s="68"/>
      <c r="G9" s="455"/>
      <c r="H9" s="456">
        <f t="shared" si="0"/>
        <v>0</v>
      </c>
      <c r="I9" s="97">
        <f t="shared" si="1"/>
        <v>0</v>
      </c>
      <c r="J9" s="1013"/>
    </row>
    <row r="10" spans="1:10" ht="15.75" customHeight="1">
      <c r="A10" s="96" t="s">
        <v>9</v>
      </c>
      <c r="B10" s="77" t="s">
        <v>139</v>
      </c>
      <c r="C10" s="68"/>
      <c r="D10" s="68"/>
      <c r="E10" s="68"/>
      <c r="F10" s="68"/>
      <c r="G10" s="455"/>
      <c r="H10" s="456">
        <f t="shared" si="0"/>
        <v>0</v>
      </c>
      <c r="I10" s="97">
        <f t="shared" si="1"/>
        <v>0</v>
      </c>
      <c r="J10" s="1013"/>
    </row>
    <row r="11" spans="1:10" ht="22.5">
      <c r="A11" s="96" t="s">
        <v>10</v>
      </c>
      <c r="B11" s="77" t="s">
        <v>140</v>
      </c>
      <c r="C11" s="68"/>
      <c r="D11" s="68"/>
      <c r="E11" s="68"/>
      <c r="F11" s="68"/>
      <c r="G11" s="455"/>
      <c r="H11" s="456">
        <f t="shared" si="0"/>
        <v>0</v>
      </c>
      <c r="I11" s="97">
        <f t="shared" si="1"/>
        <v>0</v>
      </c>
      <c r="J11" s="1013"/>
    </row>
    <row r="12" spans="1:10" ht="15.75" customHeight="1">
      <c r="A12" s="98" t="s">
        <v>11</v>
      </c>
      <c r="B12" s="99" t="s">
        <v>560</v>
      </c>
      <c r="C12" s="69">
        <v>311168</v>
      </c>
      <c r="D12" s="69">
        <v>671924</v>
      </c>
      <c r="E12" s="69"/>
      <c r="F12" s="69"/>
      <c r="G12" s="457"/>
      <c r="H12" s="456">
        <f t="shared" si="0"/>
        <v>671924</v>
      </c>
      <c r="I12" s="97">
        <f t="shared" si="1"/>
        <v>983092</v>
      </c>
      <c r="J12" s="1013"/>
    </row>
    <row r="13" spans="1:10" ht="15.75" customHeight="1" thickBot="1">
      <c r="A13" s="458" t="s">
        <v>12</v>
      </c>
      <c r="B13" s="459" t="s">
        <v>561</v>
      </c>
      <c r="C13" s="460"/>
      <c r="D13" s="460"/>
      <c r="E13" s="460"/>
      <c r="F13" s="460"/>
      <c r="G13" s="461"/>
      <c r="H13" s="456">
        <f t="shared" si="0"/>
        <v>0</v>
      </c>
      <c r="I13" s="97">
        <f t="shared" si="1"/>
        <v>0</v>
      </c>
      <c r="J13" s="1013"/>
    </row>
    <row r="14" spans="1:10" s="70" customFormat="1" ht="18" customHeight="1" thickBot="1">
      <c r="A14" s="1027" t="s">
        <v>562</v>
      </c>
      <c r="B14" s="1028"/>
      <c r="C14" s="100">
        <f aca="true" t="shared" si="2" ref="C14:I14">SUM(C7:C13)</f>
        <v>16841168</v>
      </c>
      <c r="D14" s="100">
        <f>SUM(D7:D13)</f>
        <v>671924</v>
      </c>
      <c r="E14" s="100">
        <f t="shared" si="2"/>
        <v>0</v>
      </c>
      <c r="F14" s="100">
        <f t="shared" si="2"/>
        <v>0</v>
      </c>
      <c r="G14" s="462">
        <f t="shared" si="2"/>
        <v>0</v>
      </c>
      <c r="H14" s="462">
        <f t="shared" si="2"/>
        <v>671924</v>
      </c>
      <c r="I14" s="101">
        <f t="shared" si="2"/>
        <v>17513092</v>
      </c>
      <c r="J14" s="1013"/>
    </row>
    <row r="15" spans="1:10" s="67" customFormat="1" ht="18" customHeight="1">
      <c r="A15" s="1024" t="s">
        <v>563</v>
      </c>
      <c r="B15" s="1025"/>
      <c r="C15" s="1025"/>
      <c r="D15" s="1025"/>
      <c r="E15" s="1025"/>
      <c r="F15" s="1025"/>
      <c r="G15" s="1025"/>
      <c r="H15" s="1025"/>
      <c r="I15" s="1026"/>
      <c r="J15" s="1013"/>
    </row>
    <row r="16" spans="1:10" s="67" customFormat="1" ht="12.75">
      <c r="A16" s="96" t="s">
        <v>6</v>
      </c>
      <c r="B16" s="77" t="s">
        <v>564</v>
      </c>
      <c r="C16" s="68"/>
      <c r="D16" s="68"/>
      <c r="E16" s="68"/>
      <c r="F16" s="68"/>
      <c r="G16" s="455"/>
      <c r="H16" s="456">
        <f>SUM(D16:G16)</f>
        <v>0</v>
      </c>
      <c r="I16" s="97">
        <f>C16+H16</f>
        <v>0</v>
      </c>
      <c r="J16" s="1013"/>
    </row>
    <row r="17" spans="1:10" ht="13.5" thickBot="1">
      <c r="A17" s="458" t="s">
        <v>7</v>
      </c>
      <c r="B17" s="459" t="s">
        <v>561</v>
      </c>
      <c r="C17" s="460"/>
      <c r="D17" s="460"/>
      <c r="E17" s="460"/>
      <c r="F17" s="460"/>
      <c r="G17" s="461"/>
      <c r="H17" s="456">
        <f>SUM(D17:G17)</f>
        <v>0</v>
      </c>
      <c r="I17" s="463">
        <f>C17+H17</f>
        <v>0</v>
      </c>
      <c r="J17" s="1013"/>
    </row>
    <row r="18" spans="1:10" ht="15.75" customHeight="1" thickBot="1">
      <c r="A18" s="1027" t="s">
        <v>565</v>
      </c>
      <c r="B18" s="1028"/>
      <c r="C18" s="100">
        <f aca="true" t="shared" si="3" ref="C18:I18">SUM(C16:C17)</f>
        <v>0</v>
      </c>
      <c r="D18" s="100">
        <f t="shared" si="3"/>
        <v>0</v>
      </c>
      <c r="E18" s="100">
        <f t="shared" si="3"/>
        <v>0</v>
      </c>
      <c r="F18" s="100">
        <f t="shared" si="3"/>
        <v>0</v>
      </c>
      <c r="G18" s="462">
        <f t="shared" si="3"/>
        <v>0</v>
      </c>
      <c r="H18" s="462">
        <f t="shared" si="3"/>
        <v>0</v>
      </c>
      <c r="I18" s="101">
        <f t="shared" si="3"/>
        <v>0</v>
      </c>
      <c r="J18" s="1013"/>
    </row>
    <row r="19" spans="1:10" ht="18" customHeight="1" thickBot="1">
      <c r="A19" s="1029" t="s">
        <v>566</v>
      </c>
      <c r="B19" s="1030"/>
      <c r="C19" s="464">
        <f aca="true" t="shared" si="4" ref="C19:I19">C14+C18</f>
        <v>16841168</v>
      </c>
      <c r="D19" s="464">
        <f t="shared" si="4"/>
        <v>671924</v>
      </c>
      <c r="E19" s="464">
        <f t="shared" si="4"/>
        <v>0</v>
      </c>
      <c r="F19" s="464">
        <f t="shared" si="4"/>
        <v>0</v>
      </c>
      <c r="G19" s="464">
        <f t="shared" si="4"/>
        <v>0</v>
      </c>
      <c r="H19" s="464">
        <f t="shared" si="4"/>
        <v>671924</v>
      </c>
      <c r="I19" s="101">
        <f t="shared" si="4"/>
        <v>17513092</v>
      </c>
      <c r="J19" s="1013"/>
    </row>
  </sheetData>
  <sheetProtection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120" zoomScaleNormal="120" workbookViewId="0" topLeftCell="A1">
      <selection activeCell="D21" sqref="D21"/>
    </sheetView>
  </sheetViews>
  <sheetFormatPr defaultColWidth="9.00390625" defaultRowHeight="12.75"/>
  <cols>
    <col min="1" max="1" width="5.875" style="482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1048" t="str">
        <f>CONCATENATE("5. tájékoztató tábla ",Z_ALAPADATOK!A7," ",Z_ALAPADATOK!B7," ",Z_ALAPADATOK!C7," ",Z_ALAPADATOK!D7," ",Z_ALAPADATOK!E7," ",Z_ALAPADATOK!F7," ",Z_ALAPADATOK!G7," ",Z_ALAPADATOK!H7)</f>
        <v>5. tájékoztató tábla a … / 2020. ( … ) önkormányzati rendelethez</v>
      </c>
      <c r="B1" s="926"/>
      <c r="C1" s="926"/>
      <c r="D1" s="926"/>
    </row>
    <row r="2" spans="1:4" ht="12.75">
      <c r="A2" s="560"/>
      <c r="B2" s="561"/>
      <c r="C2" s="561"/>
      <c r="D2" s="561"/>
    </row>
    <row r="3" spans="1:4" ht="15.75">
      <c r="A3" s="1031" t="s">
        <v>664</v>
      </c>
      <c r="B3" s="1005"/>
      <c r="C3" s="1005"/>
      <c r="D3" s="1005"/>
    </row>
    <row r="4" spans="1:4" ht="15.75">
      <c r="A4" s="1031" t="s">
        <v>665</v>
      </c>
      <c r="B4" s="1005"/>
      <c r="C4" s="1005"/>
      <c r="D4" s="1005"/>
    </row>
    <row r="5" spans="1:4" s="438" customFormat="1" ht="15.75" thickBot="1">
      <c r="A5" s="552"/>
      <c r="B5" s="336"/>
      <c r="C5" s="336"/>
      <c r="D5" s="346"/>
    </row>
    <row r="6" spans="1:4" s="45" customFormat="1" ht="48" customHeight="1" thickBot="1">
      <c r="A6" s="324" t="s">
        <v>4</v>
      </c>
      <c r="B6" s="331" t="s">
        <v>5</v>
      </c>
      <c r="C6" s="331" t="s">
        <v>567</v>
      </c>
      <c r="D6" s="562" t="s">
        <v>568</v>
      </c>
    </row>
    <row r="7" spans="1:11" s="45" customFormat="1" ht="13.5" customHeight="1" thickBot="1">
      <c r="A7" s="563" t="s">
        <v>382</v>
      </c>
      <c r="B7" s="564" t="s">
        <v>383</v>
      </c>
      <c r="C7" s="564" t="s">
        <v>384</v>
      </c>
      <c r="D7" s="565" t="s">
        <v>386</v>
      </c>
      <c r="K7" s="891"/>
    </row>
    <row r="8" spans="1:4" ht="18" customHeight="1">
      <c r="A8" s="465" t="s">
        <v>6</v>
      </c>
      <c r="B8" s="466" t="s">
        <v>569</v>
      </c>
      <c r="C8" s="467"/>
      <c r="D8" s="468"/>
    </row>
    <row r="9" spans="1:4" ht="18" customHeight="1">
      <c r="A9" s="469" t="s">
        <v>7</v>
      </c>
      <c r="B9" s="470" t="s">
        <v>570</v>
      </c>
      <c r="C9" s="471"/>
      <c r="D9" s="472"/>
    </row>
    <row r="10" spans="1:4" ht="18" customHeight="1">
      <c r="A10" s="469" t="s">
        <v>8</v>
      </c>
      <c r="B10" s="470" t="s">
        <v>571</v>
      </c>
      <c r="C10" s="471"/>
      <c r="D10" s="472"/>
    </row>
    <row r="11" spans="1:4" ht="18" customHeight="1">
      <c r="A11" s="469" t="s">
        <v>9</v>
      </c>
      <c r="B11" s="470" t="s">
        <v>572</v>
      </c>
      <c r="C11" s="471"/>
      <c r="D11" s="472"/>
    </row>
    <row r="12" spans="1:4" ht="18" customHeight="1">
      <c r="A12" s="473" t="s">
        <v>10</v>
      </c>
      <c r="B12" s="470" t="s">
        <v>573</v>
      </c>
      <c r="C12" s="471">
        <f>C13+C14+C15+C16+C17+C18</f>
        <v>4045</v>
      </c>
      <c r="D12" s="472">
        <f>D13+D14+D15+D16+D17+D18</f>
        <v>3910</v>
      </c>
    </row>
    <row r="13" spans="1:4" ht="18" customHeight="1">
      <c r="A13" s="469" t="s">
        <v>11</v>
      </c>
      <c r="B13" s="470" t="s">
        <v>574</v>
      </c>
      <c r="C13" s="471"/>
      <c r="D13" s="472"/>
    </row>
    <row r="14" spans="1:4" ht="18" customHeight="1">
      <c r="A14" s="473" t="s">
        <v>12</v>
      </c>
      <c r="B14" s="474" t="s">
        <v>575</v>
      </c>
      <c r="C14" s="471"/>
      <c r="D14" s="472"/>
    </row>
    <row r="15" spans="1:4" ht="18" customHeight="1">
      <c r="A15" s="473" t="s">
        <v>13</v>
      </c>
      <c r="B15" s="474" t="s">
        <v>576</v>
      </c>
      <c r="C15" s="471">
        <v>795</v>
      </c>
      <c r="D15" s="472">
        <v>750</v>
      </c>
    </row>
    <row r="16" spans="1:4" ht="18" customHeight="1">
      <c r="A16" s="469" t="s">
        <v>14</v>
      </c>
      <c r="B16" s="474" t="s">
        <v>577</v>
      </c>
      <c r="C16" s="471"/>
      <c r="D16" s="472"/>
    </row>
    <row r="17" spans="1:4" ht="18" customHeight="1">
      <c r="A17" s="473" t="s">
        <v>15</v>
      </c>
      <c r="B17" s="474" t="s">
        <v>578</v>
      </c>
      <c r="C17" s="471"/>
      <c r="D17" s="472"/>
    </row>
    <row r="18" spans="1:4" ht="22.5">
      <c r="A18" s="469" t="s">
        <v>16</v>
      </c>
      <c r="B18" s="474" t="s">
        <v>579</v>
      </c>
      <c r="C18" s="471">
        <v>3250</v>
      </c>
      <c r="D18" s="472">
        <v>3160</v>
      </c>
    </row>
    <row r="19" spans="1:4" ht="18" customHeight="1">
      <c r="A19" s="473" t="s">
        <v>17</v>
      </c>
      <c r="B19" s="470" t="s">
        <v>580</v>
      </c>
      <c r="C19" s="471">
        <v>1020</v>
      </c>
      <c r="D19" s="472">
        <v>1015</v>
      </c>
    </row>
    <row r="20" spans="1:4" ht="18" customHeight="1">
      <c r="A20" s="469" t="s">
        <v>18</v>
      </c>
      <c r="B20" s="470" t="s">
        <v>581</v>
      </c>
      <c r="C20" s="471">
        <v>850</v>
      </c>
      <c r="D20" s="472">
        <v>860</v>
      </c>
    </row>
    <row r="21" spans="1:4" ht="18" customHeight="1">
      <c r="A21" s="473" t="s">
        <v>19</v>
      </c>
      <c r="B21" s="470" t="s">
        <v>582</v>
      </c>
      <c r="C21" s="471">
        <v>640</v>
      </c>
      <c r="D21" s="472">
        <v>649</v>
      </c>
    </row>
    <row r="22" spans="1:4" ht="18" customHeight="1">
      <c r="A22" s="469" t="s">
        <v>20</v>
      </c>
      <c r="B22" s="470" t="s">
        <v>583</v>
      </c>
      <c r="C22" s="471"/>
      <c r="D22" s="472"/>
    </row>
    <row r="23" spans="1:4" ht="18" customHeight="1">
      <c r="A23" s="473" t="s">
        <v>21</v>
      </c>
      <c r="B23" s="470" t="s">
        <v>584</v>
      </c>
      <c r="C23" s="471"/>
      <c r="D23" s="472"/>
    </row>
    <row r="24" spans="1:4" ht="18" customHeight="1">
      <c r="A24" s="469" t="s">
        <v>22</v>
      </c>
      <c r="B24" s="475"/>
      <c r="C24" s="471"/>
      <c r="D24" s="472"/>
    </row>
    <row r="25" spans="1:4" ht="18" customHeight="1">
      <c r="A25" s="473" t="s">
        <v>23</v>
      </c>
      <c r="B25" s="475"/>
      <c r="C25" s="471"/>
      <c r="D25" s="472"/>
    </row>
    <row r="26" spans="1:4" ht="18" customHeight="1">
      <c r="A26" s="469" t="s">
        <v>24</v>
      </c>
      <c r="B26" s="475"/>
      <c r="C26" s="471"/>
      <c r="D26" s="472"/>
    </row>
    <row r="27" spans="1:4" ht="18" customHeight="1">
      <c r="A27" s="473" t="s">
        <v>25</v>
      </c>
      <c r="B27" s="475"/>
      <c r="C27" s="471"/>
      <c r="D27" s="472"/>
    </row>
    <row r="28" spans="1:4" ht="18" customHeight="1">
      <c r="A28" s="469" t="s">
        <v>26</v>
      </c>
      <c r="B28" s="475"/>
      <c r="C28" s="471"/>
      <c r="D28" s="472"/>
    </row>
    <row r="29" spans="1:4" ht="18" customHeight="1">
      <c r="A29" s="473" t="s">
        <v>27</v>
      </c>
      <c r="B29" s="475"/>
      <c r="C29" s="471"/>
      <c r="D29" s="472"/>
    </row>
    <row r="30" spans="1:4" ht="18" customHeight="1">
      <c r="A30" s="469" t="s">
        <v>28</v>
      </c>
      <c r="B30" s="475"/>
      <c r="C30" s="471"/>
      <c r="D30" s="472"/>
    </row>
    <row r="31" spans="1:4" ht="18" customHeight="1">
      <c r="A31" s="473" t="s">
        <v>29</v>
      </c>
      <c r="B31" s="475"/>
      <c r="C31" s="471"/>
      <c r="D31" s="472"/>
    </row>
    <row r="32" spans="1:4" ht="18" customHeight="1" thickBot="1">
      <c r="A32" s="476" t="s">
        <v>30</v>
      </c>
      <c r="B32" s="477"/>
      <c r="C32" s="478"/>
      <c r="D32" s="479"/>
    </row>
    <row r="33" spans="1:4" ht="18" customHeight="1" thickBot="1">
      <c r="A33" s="480" t="s">
        <v>31</v>
      </c>
      <c r="B33" s="559" t="s">
        <v>37</v>
      </c>
      <c r="C33" s="445">
        <f>+C8+C9+C10+C11+C12+C19+C20+C21+C22+C23+C24+C25+C26+C27+C28+C29+C30+C31+C32</f>
        <v>6555</v>
      </c>
      <c r="D33" s="446">
        <f>+D8+D9+D10+D11+D12+D19+D20+D21+D22+D23+D24+D25+D26+D27+D28+D29+D30+D31+D32</f>
        <v>6434</v>
      </c>
    </row>
    <row r="34" spans="1:4" ht="25.5" customHeight="1">
      <c r="A34" s="481"/>
      <c r="B34" s="1047" t="s">
        <v>585</v>
      </c>
      <c r="C34" s="1047"/>
      <c r="D34" s="1047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8"/>
  <sheetViews>
    <sheetView zoomScale="112" zoomScaleNormal="112" workbookViewId="0" topLeftCell="A1">
      <selection activeCell="S20" sqref="S20"/>
    </sheetView>
  </sheetViews>
  <sheetFormatPr defaultColWidth="9.00390625" defaultRowHeight="12.75"/>
  <cols>
    <col min="1" max="1" width="6.625" style="31" customWidth="1"/>
    <col min="2" max="2" width="57.875" style="31" customWidth="1"/>
    <col min="3" max="3" width="16.00390625" style="31" customWidth="1"/>
    <col min="4" max="4" width="18.375" style="31" customWidth="1"/>
    <col min="5" max="5" width="16.125" style="31" customWidth="1"/>
    <col min="6" max="16384" width="9.375" style="31" customWidth="1"/>
  </cols>
  <sheetData>
    <row r="1" spans="1:4" ht="15">
      <c r="A1" s="1049" t="str">
        <f>CONCATENATE("6. tájékoztató tábla ",Z_ALAPADATOK!A7," ",Z_ALAPADATOK!B7," ",Z_ALAPADATOK!C7," ",Z_ALAPADATOK!D7," ",Z_ALAPADATOK!E7," ",Z_ALAPADATOK!F7," ",Z_ALAPADATOK!G7," ",Z_ALAPADATOK!H7)</f>
        <v>6. tájékoztató tábla a … / 2020. ( … ) önkormányzati rendelethez</v>
      </c>
      <c r="B1" s="1049"/>
      <c r="C1" s="1049"/>
      <c r="D1" s="1049"/>
    </row>
    <row r="2" spans="1:4" ht="15.75">
      <c r="A2" s="1050" t="s">
        <v>666</v>
      </c>
      <c r="B2" s="1050"/>
      <c r="C2" s="1050"/>
      <c r="D2" s="1050"/>
    </row>
    <row r="3" spans="1:4" ht="15.75">
      <c r="A3" s="1050" t="str">
        <f>CONCATENATE("A ",Z_ALAPADATOK!B1,". évi céljelleggel juttatott támogatások felhasználásáról")</f>
        <v>A 2019. évi céljelleggel juttatott támogatások felhasználásáról</v>
      </c>
      <c r="B3" s="1050"/>
      <c r="C3" s="1050"/>
      <c r="D3" s="1050"/>
    </row>
    <row r="4" spans="1:4" ht="14.25" thickBot="1">
      <c r="A4" s="67"/>
      <c r="B4" s="67"/>
      <c r="C4" s="566"/>
      <c r="D4" s="566">
        <f>'Z_5.tájékoztató_t.'!D5</f>
        <v>0</v>
      </c>
    </row>
    <row r="5" spans="1:5" ht="42.75" customHeight="1" thickBot="1">
      <c r="A5" s="567" t="s">
        <v>51</v>
      </c>
      <c r="B5" s="568" t="s">
        <v>586</v>
      </c>
      <c r="C5" s="569" t="s">
        <v>587</v>
      </c>
      <c r="D5" s="570" t="s">
        <v>1060</v>
      </c>
      <c r="E5" s="570" t="s">
        <v>588</v>
      </c>
    </row>
    <row r="6" spans="1:5" ht="42.75" customHeight="1" thickBot="1">
      <c r="A6" s="721" t="s">
        <v>6</v>
      </c>
      <c r="B6" s="722" t="s">
        <v>886</v>
      </c>
      <c r="C6" s="723">
        <f>SUM(C7:C47)</f>
        <v>387334</v>
      </c>
      <c r="D6" s="724">
        <v>388553</v>
      </c>
      <c r="E6" s="724">
        <f>SUM(E7:E73)</f>
        <v>388298</v>
      </c>
    </row>
    <row r="7" spans="1:5" ht="15.75" customHeight="1">
      <c r="A7" s="721" t="s">
        <v>7</v>
      </c>
      <c r="B7" s="695" t="s">
        <v>887</v>
      </c>
      <c r="C7" s="726">
        <v>13353</v>
      </c>
      <c r="D7" s="726">
        <v>13353</v>
      </c>
      <c r="E7" s="852">
        <v>13353</v>
      </c>
    </row>
    <row r="8" spans="1:5" ht="15.75" customHeight="1">
      <c r="A8" s="721" t="s">
        <v>8</v>
      </c>
      <c r="B8" s="694" t="s">
        <v>888</v>
      </c>
      <c r="C8" s="727">
        <v>6924</v>
      </c>
      <c r="D8" s="727">
        <v>6924</v>
      </c>
      <c r="E8" s="853">
        <v>6395</v>
      </c>
    </row>
    <row r="9" spans="1:5" ht="15.75" customHeight="1">
      <c r="A9" s="721" t="s">
        <v>9</v>
      </c>
      <c r="B9" s="703" t="s">
        <v>889</v>
      </c>
      <c r="C9" s="728">
        <v>24024</v>
      </c>
      <c r="D9" s="728">
        <v>24024</v>
      </c>
      <c r="E9" s="853">
        <v>24882</v>
      </c>
    </row>
    <row r="10" spans="1:5" ht="15.75" customHeight="1">
      <c r="A10" s="721" t="s">
        <v>10</v>
      </c>
      <c r="B10" s="694" t="s">
        <v>890</v>
      </c>
      <c r="C10" s="727">
        <v>6073</v>
      </c>
      <c r="D10" s="727">
        <v>6073</v>
      </c>
      <c r="E10" s="853">
        <v>7652</v>
      </c>
    </row>
    <row r="11" spans="1:5" ht="15.75" customHeight="1">
      <c r="A11" s="721" t="s">
        <v>11</v>
      </c>
      <c r="B11" s="703" t="s">
        <v>891</v>
      </c>
      <c r="C11" s="728">
        <v>4905</v>
      </c>
      <c r="D11" s="728">
        <v>4905</v>
      </c>
      <c r="E11" s="853">
        <v>4742</v>
      </c>
    </row>
    <row r="12" spans="1:5" ht="15.75" customHeight="1">
      <c r="A12" s="721" t="s">
        <v>12</v>
      </c>
      <c r="B12" s="694" t="s">
        <v>892</v>
      </c>
      <c r="C12" s="727">
        <v>10374</v>
      </c>
      <c r="D12" s="727">
        <v>10374</v>
      </c>
      <c r="E12" s="853">
        <v>8374</v>
      </c>
    </row>
    <row r="13" spans="1:5" ht="21">
      <c r="A13" s="721" t="s">
        <v>13</v>
      </c>
      <c r="B13" s="703" t="s">
        <v>893</v>
      </c>
      <c r="C13" s="728">
        <v>8840</v>
      </c>
      <c r="D13" s="728">
        <v>8840</v>
      </c>
      <c r="E13" s="853">
        <v>8840</v>
      </c>
    </row>
    <row r="14" spans="1:5" ht="15.75" customHeight="1">
      <c r="A14" s="721" t="s">
        <v>14</v>
      </c>
      <c r="B14" s="694" t="s">
        <v>894</v>
      </c>
      <c r="C14" s="727">
        <v>3159</v>
      </c>
      <c r="D14" s="727">
        <v>3159</v>
      </c>
      <c r="E14" s="853">
        <v>2559</v>
      </c>
    </row>
    <row r="15" spans="1:5" ht="15.75" customHeight="1">
      <c r="A15" s="721" t="s">
        <v>15</v>
      </c>
      <c r="B15" s="694" t="s">
        <v>895</v>
      </c>
      <c r="C15" s="727">
        <v>2746</v>
      </c>
      <c r="D15" s="727">
        <v>2746</v>
      </c>
      <c r="E15" s="853">
        <v>2746</v>
      </c>
    </row>
    <row r="16" spans="1:5" ht="15.75" customHeight="1">
      <c r="A16" s="721" t="s">
        <v>16</v>
      </c>
      <c r="B16" s="694" t="s">
        <v>896</v>
      </c>
      <c r="C16" s="727">
        <v>4464</v>
      </c>
      <c r="D16" s="727">
        <v>4464</v>
      </c>
      <c r="E16" s="853">
        <v>1371</v>
      </c>
    </row>
    <row r="17" spans="1:5" ht="21">
      <c r="A17" s="721" t="s">
        <v>17</v>
      </c>
      <c r="B17" s="703" t="s">
        <v>897</v>
      </c>
      <c r="C17" s="728">
        <v>5757</v>
      </c>
      <c r="D17" s="728">
        <v>5757</v>
      </c>
      <c r="E17" s="854">
        <v>5979</v>
      </c>
    </row>
    <row r="18" spans="1:5" ht="15.75" customHeight="1">
      <c r="A18" s="721" t="s">
        <v>18</v>
      </c>
      <c r="B18" s="704" t="s">
        <v>898</v>
      </c>
      <c r="C18" s="727">
        <v>1410</v>
      </c>
      <c r="D18" s="727">
        <v>1410</v>
      </c>
      <c r="E18" s="853">
        <v>1194</v>
      </c>
    </row>
    <row r="19" spans="1:5" ht="15.75" customHeight="1">
      <c r="A19" s="721" t="s">
        <v>19</v>
      </c>
      <c r="B19" s="703" t="s">
        <v>899</v>
      </c>
      <c r="C19" s="728">
        <v>144422</v>
      </c>
      <c r="D19" s="728">
        <v>144422</v>
      </c>
      <c r="E19" s="853">
        <v>144422</v>
      </c>
    </row>
    <row r="20" spans="1:5" ht="15.75" customHeight="1">
      <c r="A20" s="721" t="s">
        <v>20</v>
      </c>
      <c r="B20" s="703" t="s">
        <v>900</v>
      </c>
      <c r="C20" s="728">
        <v>27077</v>
      </c>
      <c r="D20" s="728">
        <v>27077</v>
      </c>
      <c r="E20" s="853">
        <v>27077</v>
      </c>
    </row>
    <row r="21" spans="1:5" ht="15.75" customHeight="1">
      <c r="A21" s="721" t="s">
        <v>21</v>
      </c>
      <c r="B21" s="703" t="s">
        <v>901</v>
      </c>
      <c r="C21" s="728">
        <v>793</v>
      </c>
      <c r="D21" s="728">
        <v>793</v>
      </c>
      <c r="E21" s="853">
        <v>793</v>
      </c>
    </row>
    <row r="22" spans="1:5" ht="15.75" customHeight="1">
      <c r="A22" s="721" t="s">
        <v>22</v>
      </c>
      <c r="B22" s="703" t="s">
        <v>902</v>
      </c>
      <c r="C22" s="728">
        <v>1126</v>
      </c>
      <c r="D22" s="728">
        <v>1126</v>
      </c>
      <c r="E22" s="853">
        <v>1126</v>
      </c>
    </row>
    <row r="23" spans="1:5" ht="15.75" customHeight="1">
      <c r="A23" s="721" t="s">
        <v>23</v>
      </c>
      <c r="B23" s="703" t="s">
        <v>903</v>
      </c>
      <c r="C23" s="728">
        <v>15753</v>
      </c>
      <c r="D23" s="728">
        <v>15753</v>
      </c>
      <c r="E23" s="853">
        <v>15753</v>
      </c>
    </row>
    <row r="24" spans="1:5" ht="15.75" customHeight="1">
      <c r="A24" s="721" t="s">
        <v>24</v>
      </c>
      <c r="B24" s="703" t="s">
        <v>904</v>
      </c>
      <c r="C24" s="728">
        <v>68781</v>
      </c>
      <c r="D24" s="728">
        <v>68781</v>
      </c>
      <c r="E24" s="853">
        <v>68781</v>
      </c>
    </row>
    <row r="25" spans="1:5" ht="21">
      <c r="A25" s="721" t="s">
        <v>25</v>
      </c>
      <c r="B25" s="703" t="s">
        <v>905</v>
      </c>
      <c r="C25" s="728">
        <v>259</v>
      </c>
      <c r="D25" s="728">
        <v>259</v>
      </c>
      <c r="E25" s="853">
        <v>259</v>
      </c>
    </row>
    <row r="26" spans="1:5" ht="15.75" customHeight="1">
      <c r="A26" s="721" t="s">
        <v>26</v>
      </c>
      <c r="B26" s="699" t="s">
        <v>906</v>
      </c>
      <c r="C26" s="727">
        <v>25066</v>
      </c>
      <c r="D26" s="727">
        <v>25066</v>
      </c>
      <c r="E26" s="853">
        <v>11616</v>
      </c>
    </row>
    <row r="27" spans="1:5" ht="15.75" customHeight="1">
      <c r="A27" s="721" t="s">
        <v>27</v>
      </c>
      <c r="B27" s="694" t="s">
        <v>907</v>
      </c>
      <c r="C27" s="727">
        <v>2000</v>
      </c>
      <c r="D27" s="727">
        <v>2000</v>
      </c>
      <c r="E27" s="853">
        <v>2000</v>
      </c>
    </row>
    <row r="28" spans="1:5" ht="15.75" customHeight="1">
      <c r="A28" s="721" t="s">
        <v>28</v>
      </c>
      <c r="B28" s="694" t="s">
        <v>908</v>
      </c>
      <c r="C28" s="727">
        <v>4546</v>
      </c>
      <c r="D28" s="727">
        <v>4546</v>
      </c>
      <c r="E28" s="853">
        <v>4546</v>
      </c>
    </row>
    <row r="29" spans="1:5" ht="15.75" customHeight="1">
      <c r="A29" s="721" t="s">
        <v>29</v>
      </c>
      <c r="B29" s="694" t="s">
        <v>909</v>
      </c>
      <c r="C29" s="727">
        <v>300</v>
      </c>
      <c r="D29" s="727">
        <v>300</v>
      </c>
      <c r="E29" s="855">
        <v>300</v>
      </c>
    </row>
    <row r="30" spans="1:5" ht="15.75" customHeight="1">
      <c r="A30" s="721" t="s">
        <v>30</v>
      </c>
      <c r="B30" s="694" t="s">
        <v>910</v>
      </c>
      <c r="C30" s="702"/>
      <c r="D30" s="727">
        <v>-356</v>
      </c>
      <c r="E30" s="855">
        <v>-356</v>
      </c>
    </row>
    <row r="31" spans="1:5" ht="15.75" customHeight="1">
      <c r="A31" s="721" t="s">
        <v>31</v>
      </c>
      <c r="B31" s="694" t="s">
        <v>911</v>
      </c>
      <c r="C31" s="702"/>
      <c r="D31" s="727">
        <v>694</v>
      </c>
      <c r="E31" s="855">
        <v>694</v>
      </c>
    </row>
    <row r="32" spans="1:5" ht="15.75" customHeight="1">
      <c r="A32" s="721" t="s">
        <v>32</v>
      </c>
      <c r="B32" s="694" t="s">
        <v>912</v>
      </c>
      <c r="C32" s="702"/>
      <c r="D32" s="727">
        <v>-171</v>
      </c>
      <c r="E32" s="855">
        <v>-171</v>
      </c>
    </row>
    <row r="33" spans="1:5" ht="15.75" customHeight="1">
      <c r="A33" s="721" t="s">
        <v>33</v>
      </c>
      <c r="B33" s="694" t="s">
        <v>913</v>
      </c>
      <c r="C33" s="702"/>
      <c r="D33" s="727">
        <v>-476</v>
      </c>
      <c r="E33" s="855">
        <v>-476</v>
      </c>
    </row>
    <row r="34" spans="1:5" ht="15.75" customHeight="1">
      <c r="A34" s="721" t="s">
        <v>589</v>
      </c>
      <c r="B34" s="694" t="s">
        <v>914</v>
      </c>
      <c r="C34" s="702"/>
      <c r="D34" s="727">
        <v>-3</v>
      </c>
      <c r="E34" s="855">
        <v>-3</v>
      </c>
    </row>
    <row r="35" spans="1:5" ht="15.75" customHeight="1">
      <c r="A35" s="721" t="s">
        <v>590</v>
      </c>
      <c r="B35" s="694" t="s">
        <v>915</v>
      </c>
      <c r="C35" s="702"/>
      <c r="D35" s="727">
        <v>3552</v>
      </c>
      <c r="E35" s="855">
        <v>3552</v>
      </c>
    </row>
    <row r="36" spans="1:5" ht="15.75" customHeight="1">
      <c r="A36" s="721" t="s">
        <v>591</v>
      </c>
      <c r="B36" s="694" t="s">
        <v>916</v>
      </c>
      <c r="C36" s="702"/>
      <c r="D36" s="727">
        <v>62</v>
      </c>
      <c r="E36" s="855">
        <v>62</v>
      </c>
    </row>
    <row r="37" spans="1:5" ht="15.75" customHeight="1">
      <c r="A37" s="721" t="s">
        <v>592</v>
      </c>
      <c r="B37" s="694" t="s">
        <v>917</v>
      </c>
      <c r="C37" s="702"/>
      <c r="D37" s="727">
        <v>45</v>
      </c>
      <c r="E37" s="855">
        <v>45</v>
      </c>
    </row>
    <row r="38" spans="1:5" ht="15.75" customHeight="1">
      <c r="A38" s="721" t="s">
        <v>593</v>
      </c>
      <c r="B38" s="694" t="s">
        <v>918</v>
      </c>
      <c r="C38" s="702"/>
      <c r="D38" s="727">
        <v>34</v>
      </c>
      <c r="E38" s="855">
        <v>34</v>
      </c>
    </row>
    <row r="39" spans="1:5" ht="15.75" customHeight="1">
      <c r="A39" s="721" t="s">
        <v>595</v>
      </c>
      <c r="B39" s="694" t="s">
        <v>919</v>
      </c>
      <c r="C39" s="702"/>
      <c r="D39" s="727">
        <v>91</v>
      </c>
      <c r="E39" s="855">
        <v>91</v>
      </c>
    </row>
    <row r="40" spans="1:5" ht="15.75" customHeight="1">
      <c r="A40" s="721" t="s">
        <v>596</v>
      </c>
      <c r="B40" s="694" t="s">
        <v>920</v>
      </c>
      <c r="C40" s="702"/>
      <c r="D40" s="727">
        <v>75</v>
      </c>
      <c r="E40" s="855">
        <v>75</v>
      </c>
    </row>
    <row r="41" spans="1:5" ht="15.75" customHeight="1">
      <c r="A41" s="721"/>
      <c r="B41" s="694" t="s">
        <v>1421</v>
      </c>
      <c r="C41" s="702"/>
      <c r="D41" s="727"/>
      <c r="E41" s="856">
        <v>6680</v>
      </c>
    </row>
    <row r="42" spans="1:5" ht="15.75" customHeight="1">
      <c r="A42" s="721" t="s">
        <v>597</v>
      </c>
      <c r="B42" s="705" t="s">
        <v>921</v>
      </c>
      <c r="C42" s="702">
        <v>500</v>
      </c>
      <c r="D42" s="727">
        <v>500</v>
      </c>
      <c r="E42" s="857">
        <v>500</v>
      </c>
    </row>
    <row r="43" spans="1:5" ht="15.75" customHeight="1">
      <c r="A43" s="721" t="s">
        <v>598</v>
      </c>
      <c r="B43" s="705" t="s">
        <v>922</v>
      </c>
      <c r="C43" s="702">
        <v>200</v>
      </c>
      <c r="D43" s="727">
        <v>200</v>
      </c>
      <c r="E43" s="857">
        <v>200</v>
      </c>
    </row>
    <row r="44" spans="1:5" ht="15.75" customHeight="1">
      <c r="A44" s="721" t="s">
        <v>599</v>
      </c>
      <c r="B44" s="705" t="s">
        <v>923</v>
      </c>
      <c r="C44" s="702">
        <v>1600</v>
      </c>
      <c r="D44" s="727">
        <v>1600</v>
      </c>
      <c r="E44" s="857">
        <v>1215</v>
      </c>
    </row>
    <row r="45" spans="1:5" ht="15.75" customHeight="1">
      <c r="A45" s="721" t="s">
        <v>600</v>
      </c>
      <c r="B45" s="705" t="s">
        <v>924</v>
      </c>
      <c r="C45" s="702">
        <v>1441</v>
      </c>
      <c r="D45" s="727">
        <v>0</v>
      </c>
      <c r="E45" s="857"/>
    </row>
    <row r="46" spans="1:5" ht="15.75" customHeight="1">
      <c r="A46" s="721" t="s">
        <v>601</v>
      </c>
      <c r="B46" s="705" t="s">
        <v>924</v>
      </c>
      <c r="C46" s="729">
        <v>1441</v>
      </c>
      <c r="D46" s="730">
        <v>1419</v>
      </c>
      <c r="E46" s="858">
        <v>1419</v>
      </c>
    </row>
    <row r="47" spans="1:5" ht="15.75" customHeight="1">
      <c r="A47" s="721" t="s">
        <v>602</v>
      </c>
      <c r="B47" s="705" t="s">
        <v>925</v>
      </c>
      <c r="C47" s="712"/>
      <c r="D47" s="731">
        <v>0</v>
      </c>
      <c r="E47" s="857"/>
    </row>
    <row r="48" spans="1:5" ht="15.75" customHeight="1">
      <c r="A48" s="721" t="s">
        <v>603</v>
      </c>
      <c r="B48" s="705" t="s">
        <v>926</v>
      </c>
      <c r="C48" s="712"/>
      <c r="D48" s="731">
        <v>203</v>
      </c>
      <c r="E48" s="857">
        <v>203</v>
      </c>
    </row>
    <row r="49" spans="1:5" ht="15.75" customHeight="1">
      <c r="A49" s="721" t="s">
        <v>604</v>
      </c>
      <c r="B49" s="705" t="s">
        <v>927</v>
      </c>
      <c r="C49" s="712"/>
      <c r="D49" s="731">
        <v>573</v>
      </c>
      <c r="E49" s="857">
        <v>573</v>
      </c>
    </row>
    <row r="50" spans="1:5" ht="15.75" customHeight="1">
      <c r="A50" s="721" t="s">
        <v>605</v>
      </c>
      <c r="B50" s="705" t="s">
        <v>928</v>
      </c>
      <c r="C50" s="712"/>
      <c r="D50" s="731">
        <v>254</v>
      </c>
      <c r="E50" s="857">
        <v>254</v>
      </c>
    </row>
    <row r="51" spans="1:5" ht="15.75" customHeight="1">
      <c r="A51" s="721" t="s">
        <v>606</v>
      </c>
      <c r="B51" s="705" t="s">
        <v>929</v>
      </c>
      <c r="C51" s="712"/>
      <c r="D51" s="731">
        <v>2327</v>
      </c>
      <c r="E51" s="857">
        <v>2327</v>
      </c>
    </row>
    <row r="52" spans="1:5" ht="15.75" customHeight="1">
      <c r="A52" s="721" t="s">
        <v>607</v>
      </c>
      <c r="B52" s="705" t="s">
        <v>930</v>
      </c>
      <c r="C52" s="712"/>
      <c r="D52" s="731">
        <v>38</v>
      </c>
      <c r="E52" s="857">
        <v>38</v>
      </c>
    </row>
    <row r="53" spans="1:5" ht="15.75" customHeight="1">
      <c r="A53" s="721" t="s">
        <v>608</v>
      </c>
      <c r="B53" s="705" t="s">
        <v>931</v>
      </c>
      <c r="C53" s="712"/>
      <c r="D53" s="731">
        <v>150</v>
      </c>
      <c r="E53" s="857">
        <v>150</v>
      </c>
    </row>
    <row r="54" spans="1:5" ht="15.75" customHeight="1">
      <c r="A54" s="721" t="s">
        <v>609</v>
      </c>
      <c r="B54" s="705" t="s">
        <v>932</v>
      </c>
      <c r="C54" s="712"/>
      <c r="D54" s="731">
        <v>91</v>
      </c>
      <c r="E54" s="857">
        <v>91</v>
      </c>
    </row>
    <row r="55" spans="1:5" ht="15.75" customHeight="1">
      <c r="A55" s="721" t="s">
        <v>610</v>
      </c>
      <c r="B55" s="705" t="s">
        <v>933</v>
      </c>
      <c r="C55" s="712"/>
      <c r="D55" s="731">
        <v>56</v>
      </c>
      <c r="E55" s="857">
        <v>56</v>
      </c>
    </row>
    <row r="56" spans="1:5" ht="12.75">
      <c r="A56" s="721" t="s">
        <v>611</v>
      </c>
      <c r="B56" s="705" t="s">
        <v>934</v>
      </c>
      <c r="C56" s="712"/>
      <c r="D56" s="731">
        <v>230</v>
      </c>
      <c r="E56" s="857">
        <v>230</v>
      </c>
    </row>
    <row r="57" spans="1:5" ht="12.75">
      <c r="A57" s="721" t="s">
        <v>612</v>
      </c>
      <c r="B57" s="705" t="s">
        <v>935</v>
      </c>
      <c r="C57" s="712"/>
      <c r="D57" s="731">
        <v>1973</v>
      </c>
      <c r="E57" s="857">
        <v>1973</v>
      </c>
    </row>
    <row r="58" spans="1:5" ht="12.75">
      <c r="A58" s="721" t="s">
        <v>613</v>
      </c>
      <c r="B58" s="705" t="s">
        <v>936</v>
      </c>
      <c r="C58" s="712"/>
      <c r="D58" s="731">
        <v>38</v>
      </c>
      <c r="E58" s="857">
        <v>38</v>
      </c>
    </row>
    <row r="59" spans="1:5" ht="12.75">
      <c r="A59" s="721" t="s">
        <v>614</v>
      </c>
      <c r="B59" s="705" t="s">
        <v>937</v>
      </c>
      <c r="C59" s="712"/>
      <c r="D59" s="731">
        <v>101</v>
      </c>
      <c r="E59" s="857">
        <v>101</v>
      </c>
    </row>
    <row r="60" spans="1:5" ht="12.75">
      <c r="A60" s="721" t="s">
        <v>615</v>
      </c>
      <c r="B60" s="705" t="s">
        <v>938</v>
      </c>
      <c r="C60" s="702"/>
      <c r="D60" s="713">
        <v>56</v>
      </c>
      <c r="E60" s="856">
        <v>56</v>
      </c>
    </row>
    <row r="61" spans="1:5" ht="15.75" customHeight="1">
      <c r="A61" s="721" t="s">
        <v>616</v>
      </c>
      <c r="B61" s="732" t="s">
        <v>939</v>
      </c>
      <c r="C61" s="733"/>
      <c r="D61" s="734">
        <v>1660</v>
      </c>
      <c r="E61" s="858">
        <v>1660</v>
      </c>
    </row>
    <row r="62" spans="1:5" ht="15.75" customHeight="1">
      <c r="A62" s="721" t="s">
        <v>617</v>
      </c>
      <c r="B62" s="732" t="s">
        <v>1418</v>
      </c>
      <c r="C62" s="733"/>
      <c r="D62" s="734"/>
      <c r="E62" s="858">
        <v>131</v>
      </c>
    </row>
    <row r="63" spans="1:5" ht="15.75" customHeight="1">
      <c r="A63" s="721" t="s">
        <v>618</v>
      </c>
      <c r="B63" s="705" t="s">
        <v>940</v>
      </c>
      <c r="C63" s="702"/>
      <c r="D63" s="731">
        <v>1928</v>
      </c>
      <c r="E63" s="857">
        <v>1928</v>
      </c>
    </row>
    <row r="64" spans="1:5" ht="22.5">
      <c r="A64" s="721" t="s">
        <v>619</v>
      </c>
      <c r="B64" s="705" t="s">
        <v>941</v>
      </c>
      <c r="C64" s="702"/>
      <c r="D64" s="731">
        <v>1126</v>
      </c>
      <c r="E64" s="857">
        <v>1126</v>
      </c>
    </row>
    <row r="65" spans="1:5" ht="22.5">
      <c r="A65" s="721" t="s">
        <v>620</v>
      </c>
      <c r="B65" s="705" t="s">
        <v>942</v>
      </c>
      <c r="C65" s="702"/>
      <c r="D65" s="731">
        <v>-1540</v>
      </c>
      <c r="E65" s="857">
        <v>-1540</v>
      </c>
    </row>
    <row r="66" spans="1:5" ht="12.75">
      <c r="A66" s="721" t="s">
        <v>621</v>
      </c>
      <c r="B66" s="705" t="s">
        <v>943</v>
      </c>
      <c r="C66" s="702"/>
      <c r="D66" s="731">
        <v>285</v>
      </c>
      <c r="E66" s="857">
        <v>285</v>
      </c>
    </row>
    <row r="67" spans="1:5" ht="22.5">
      <c r="A67" s="721" t="s">
        <v>622</v>
      </c>
      <c r="B67" s="705" t="s">
        <v>944</v>
      </c>
      <c r="C67" s="702"/>
      <c r="D67" s="731">
        <v>1190</v>
      </c>
      <c r="E67" s="857"/>
    </row>
    <row r="68" spans="1:5" ht="15.75" customHeight="1">
      <c r="A68" s="721" t="s">
        <v>623</v>
      </c>
      <c r="B68" s="705" t="s">
        <v>945</v>
      </c>
      <c r="C68" s="702"/>
      <c r="D68" s="731">
        <v>672</v>
      </c>
      <c r="E68" s="857">
        <v>672</v>
      </c>
    </row>
    <row r="69" spans="1:5" ht="12.75">
      <c r="A69" s="721" t="s">
        <v>947</v>
      </c>
      <c r="B69" s="705" t="s">
        <v>946</v>
      </c>
      <c r="C69" s="702"/>
      <c r="D69" s="731">
        <v>12</v>
      </c>
      <c r="E69" s="857">
        <v>12</v>
      </c>
    </row>
    <row r="70" spans="1:5" ht="12.75">
      <c r="A70" s="721" t="s">
        <v>949</v>
      </c>
      <c r="B70" s="705" t="s">
        <v>948</v>
      </c>
      <c r="C70" s="702"/>
      <c r="D70" s="731">
        <v>34</v>
      </c>
      <c r="E70" s="857">
        <v>34</v>
      </c>
    </row>
    <row r="71" spans="1:5" ht="15.75" customHeight="1">
      <c r="A71" s="721" t="s">
        <v>951</v>
      </c>
      <c r="B71" s="705" t="s">
        <v>950</v>
      </c>
      <c r="C71" s="702"/>
      <c r="D71" s="731">
        <v>18</v>
      </c>
      <c r="E71" s="857">
        <v>18</v>
      </c>
    </row>
    <row r="72" spans="1:5" ht="15.75" customHeight="1">
      <c r="A72" s="721" t="s">
        <v>952</v>
      </c>
      <c r="B72" s="705" t="s">
        <v>1422</v>
      </c>
      <c r="C72" s="702"/>
      <c r="D72" s="731">
        <v>682</v>
      </c>
      <c r="E72" s="857">
        <v>682</v>
      </c>
    </row>
    <row r="73" spans="1:5" ht="13.5" thickBot="1">
      <c r="A73" s="721" t="s">
        <v>953</v>
      </c>
      <c r="B73" s="705" t="s">
        <v>1423</v>
      </c>
      <c r="C73" s="702"/>
      <c r="D73" s="731">
        <v>-1121</v>
      </c>
      <c r="E73" s="857">
        <v>-1121</v>
      </c>
    </row>
    <row r="74" spans="1:5" ht="15.75" customHeight="1" thickBot="1">
      <c r="A74" s="721" t="s">
        <v>955</v>
      </c>
      <c r="B74" s="735" t="s">
        <v>954</v>
      </c>
      <c r="C74" s="723">
        <f>SUM(C75:C101)</f>
        <v>163143</v>
      </c>
      <c r="D74" s="724">
        <v>186124</v>
      </c>
      <c r="E74" s="724">
        <f>SUM(E75:E111)</f>
        <v>181368</v>
      </c>
    </row>
    <row r="75" spans="1:5" ht="15.75" customHeight="1">
      <c r="A75" s="721" t="s">
        <v>957</v>
      </c>
      <c r="B75" s="736" t="s">
        <v>956</v>
      </c>
      <c r="C75" s="725">
        <v>800</v>
      </c>
      <c r="D75" s="725">
        <v>800</v>
      </c>
      <c r="E75" s="725">
        <v>800</v>
      </c>
    </row>
    <row r="76" spans="1:5" ht="15.75" customHeight="1">
      <c r="A76" s="721" t="s">
        <v>959</v>
      </c>
      <c r="B76" s="706" t="s">
        <v>958</v>
      </c>
      <c r="C76" s="702">
        <v>0</v>
      </c>
      <c r="D76" s="702">
        <v>0</v>
      </c>
      <c r="E76" s="702"/>
    </row>
    <row r="77" spans="1:5" ht="15.75" customHeight="1">
      <c r="A77" s="721" t="s">
        <v>961</v>
      </c>
      <c r="B77" s="706" t="s">
        <v>960</v>
      </c>
      <c r="C77" s="702">
        <v>9000</v>
      </c>
      <c r="D77" s="702">
        <v>9000</v>
      </c>
      <c r="E77" s="702">
        <v>9000</v>
      </c>
    </row>
    <row r="78" spans="1:5" ht="15.75" customHeight="1">
      <c r="A78" s="721" t="s">
        <v>963</v>
      </c>
      <c r="B78" s="706" t="s">
        <v>962</v>
      </c>
      <c r="C78" s="702">
        <v>300</v>
      </c>
      <c r="D78" s="702">
        <v>300</v>
      </c>
      <c r="E78" s="702">
        <v>300</v>
      </c>
    </row>
    <row r="79" spans="1:5" ht="15.75" customHeight="1">
      <c r="A79" s="721" t="s">
        <v>965</v>
      </c>
      <c r="B79" s="707" t="s">
        <v>964</v>
      </c>
      <c r="C79" s="702">
        <v>250</v>
      </c>
      <c r="D79" s="702">
        <v>250</v>
      </c>
      <c r="E79" s="702">
        <v>250</v>
      </c>
    </row>
    <row r="80" spans="1:5" ht="15.75" customHeight="1">
      <c r="A80" s="721" t="s">
        <v>967</v>
      </c>
      <c r="B80" s="708" t="s">
        <v>966</v>
      </c>
      <c r="C80" s="702">
        <v>700</v>
      </c>
      <c r="D80" s="702">
        <v>700</v>
      </c>
      <c r="E80" s="702">
        <v>700</v>
      </c>
    </row>
    <row r="81" spans="1:5" ht="15.75" customHeight="1">
      <c r="A81" s="721" t="s">
        <v>969</v>
      </c>
      <c r="B81" s="708" t="s">
        <v>968</v>
      </c>
      <c r="C81" s="702">
        <v>4000</v>
      </c>
      <c r="D81" s="702">
        <v>2000</v>
      </c>
      <c r="E81" s="702">
        <v>1974</v>
      </c>
    </row>
    <row r="82" spans="1:5" ht="15.75" customHeight="1">
      <c r="A82" s="721" t="s">
        <v>971</v>
      </c>
      <c r="B82" s="708" t="s">
        <v>970</v>
      </c>
      <c r="C82" s="851">
        <v>300</v>
      </c>
      <c r="D82" s="702">
        <v>300</v>
      </c>
      <c r="E82" s="702">
        <v>300</v>
      </c>
    </row>
    <row r="83" spans="1:5" ht="12.75">
      <c r="A83" s="721" t="s">
        <v>973</v>
      </c>
      <c r="B83" s="708" t="s">
        <v>972</v>
      </c>
      <c r="C83" s="702">
        <v>400</v>
      </c>
      <c r="D83" s="702">
        <v>400</v>
      </c>
      <c r="E83" s="702">
        <v>400</v>
      </c>
    </row>
    <row r="84" spans="1:5" ht="21">
      <c r="A84" s="721" t="s">
        <v>975</v>
      </c>
      <c r="B84" s="708" t="s">
        <v>974</v>
      </c>
      <c r="C84" s="702">
        <v>1300</v>
      </c>
      <c r="D84" s="702">
        <v>1300</v>
      </c>
      <c r="E84" s="702">
        <v>1300</v>
      </c>
    </row>
    <row r="85" spans="1:5" ht="12.75">
      <c r="A85" s="721" t="s">
        <v>977</v>
      </c>
      <c r="B85" s="708" t="s">
        <v>976</v>
      </c>
      <c r="C85" s="702">
        <v>400</v>
      </c>
      <c r="D85" s="702">
        <v>400</v>
      </c>
      <c r="E85" s="702">
        <v>400</v>
      </c>
    </row>
    <row r="86" spans="1:5" ht="12.75">
      <c r="A86" s="721" t="s">
        <v>979</v>
      </c>
      <c r="B86" s="708" t="s">
        <v>978</v>
      </c>
      <c r="C86" s="702">
        <v>300</v>
      </c>
      <c r="D86" s="702">
        <v>300</v>
      </c>
      <c r="E86" s="702">
        <v>300</v>
      </c>
    </row>
    <row r="87" spans="1:5" ht="21">
      <c r="A87" s="721" t="s">
        <v>981</v>
      </c>
      <c r="B87" s="708" t="s">
        <v>980</v>
      </c>
      <c r="C87" s="702">
        <v>1000</v>
      </c>
      <c r="D87" s="702">
        <v>1000</v>
      </c>
      <c r="E87" s="702">
        <v>1000</v>
      </c>
    </row>
    <row r="88" spans="1:5" ht="12.75">
      <c r="A88" s="721" t="s">
        <v>983</v>
      </c>
      <c r="B88" s="708" t="s">
        <v>982</v>
      </c>
      <c r="C88" s="702">
        <v>600</v>
      </c>
      <c r="D88" s="702">
        <v>900</v>
      </c>
      <c r="E88" s="702">
        <v>900</v>
      </c>
    </row>
    <row r="89" spans="1:5" ht="12.75">
      <c r="A89" s="721" t="s">
        <v>985</v>
      </c>
      <c r="B89" s="705" t="s">
        <v>984</v>
      </c>
      <c r="C89" s="851"/>
      <c r="D89" s="702"/>
      <c r="E89" s="702"/>
    </row>
    <row r="90" spans="1:5" ht="22.5">
      <c r="A90" s="721" t="s">
        <v>987</v>
      </c>
      <c r="B90" s="696" t="s">
        <v>986</v>
      </c>
      <c r="C90" s="702">
        <v>23569</v>
      </c>
      <c r="D90" s="702">
        <v>24069</v>
      </c>
      <c r="E90" s="702">
        <v>24069</v>
      </c>
    </row>
    <row r="91" spans="1:5" ht="12.75">
      <c r="A91" s="721" t="s">
        <v>989</v>
      </c>
      <c r="B91" s="696" t="s">
        <v>988</v>
      </c>
      <c r="C91" s="702">
        <v>697</v>
      </c>
      <c r="D91" s="702">
        <v>697</v>
      </c>
      <c r="E91" s="702">
        <v>697</v>
      </c>
    </row>
    <row r="92" spans="1:5" ht="22.5">
      <c r="A92" s="721" t="s">
        <v>991</v>
      </c>
      <c r="B92" s="696" t="s">
        <v>990</v>
      </c>
      <c r="C92" s="702"/>
      <c r="D92" s="702"/>
      <c r="E92" s="702"/>
    </row>
    <row r="93" spans="1:5" ht="22.5">
      <c r="A93" s="721" t="s">
        <v>993</v>
      </c>
      <c r="B93" s="696" t="s">
        <v>992</v>
      </c>
      <c r="C93" s="702">
        <v>2112</v>
      </c>
      <c r="D93" s="702">
        <v>2112</v>
      </c>
      <c r="E93" s="702">
        <v>2112</v>
      </c>
    </row>
    <row r="94" spans="1:5" ht="12.75">
      <c r="A94" s="721" t="s">
        <v>995</v>
      </c>
      <c r="B94" s="710" t="s">
        <v>994</v>
      </c>
      <c r="C94" s="702">
        <v>36198</v>
      </c>
      <c r="D94" s="702">
        <v>37948</v>
      </c>
      <c r="E94" s="702">
        <v>37948</v>
      </c>
    </row>
    <row r="95" spans="1:5" ht="12.75">
      <c r="A95" s="721" t="s">
        <v>997</v>
      </c>
      <c r="B95" s="710" t="s">
        <v>996</v>
      </c>
      <c r="C95" s="727">
        <v>48800</v>
      </c>
      <c r="D95" s="727">
        <v>50643</v>
      </c>
      <c r="E95" s="727">
        <v>50643</v>
      </c>
    </row>
    <row r="96" spans="1:5" ht="12.75">
      <c r="A96" s="721" t="s">
        <v>999</v>
      </c>
      <c r="B96" s="710" t="s">
        <v>998</v>
      </c>
      <c r="C96" s="727">
        <v>4300</v>
      </c>
      <c r="D96" s="727">
        <v>4463</v>
      </c>
      <c r="E96" s="727">
        <v>4463</v>
      </c>
    </row>
    <row r="97" spans="1:5" ht="12.75">
      <c r="A97" s="721" t="s">
        <v>1001</v>
      </c>
      <c r="B97" s="710" t="s">
        <v>1000</v>
      </c>
      <c r="C97" s="727">
        <v>11300</v>
      </c>
      <c r="D97" s="727">
        <v>11727</v>
      </c>
      <c r="E97" s="727">
        <v>11727</v>
      </c>
    </row>
    <row r="98" spans="1:5" ht="12.75">
      <c r="A98" s="721" t="s">
        <v>1003</v>
      </c>
      <c r="B98" s="710" t="s">
        <v>1002</v>
      </c>
      <c r="C98" s="727">
        <v>15020</v>
      </c>
      <c r="D98" s="727">
        <v>15587</v>
      </c>
      <c r="E98" s="727">
        <v>15587</v>
      </c>
    </row>
    <row r="99" spans="1:5" ht="12.75">
      <c r="A99" s="721" t="s">
        <v>1005</v>
      </c>
      <c r="B99" s="710" t="s">
        <v>1004</v>
      </c>
      <c r="C99" s="702">
        <v>1647</v>
      </c>
      <c r="D99" s="702">
        <v>1646</v>
      </c>
      <c r="E99" s="702">
        <v>1647</v>
      </c>
    </row>
    <row r="100" spans="1:5" ht="12.75">
      <c r="A100" s="721" t="s">
        <v>1007</v>
      </c>
      <c r="B100" s="737" t="s">
        <v>1006</v>
      </c>
      <c r="C100" s="729">
        <v>50</v>
      </c>
      <c r="D100" s="729">
        <v>50</v>
      </c>
      <c r="E100" s="729">
        <v>50</v>
      </c>
    </row>
    <row r="101" spans="1:5" ht="12.75">
      <c r="A101" s="721" t="s">
        <v>1009</v>
      </c>
      <c r="B101" s="705" t="s">
        <v>1008</v>
      </c>
      <c r="C101" s="702">
        <v>100</v>
      </c>
      <c r="D101" s="702">
        <v>100</v>
      </c>
      <c r="E101" s="702">
        <v>100</v>
      </c>
    </row>
    <row r="102" spans="1:5" ht="12.75">
      <c r="A102" s="721" t="s">
        <v>1011</v>
      </c>
      <c r="B102" s="705" t="s">
        <v>1010</v>
      </c>
      <c r="C102" s="712"/>
      <c r="D102" s="731">
        <v>1050</v>
      </c>
      <c r="E102" s="731">
        <v>1050</v>
      </c>
    </row>
    <row r="103" spans="1:5" ht="12.75">
      <c r="A103" s="721" t="s">
        <v>1013</v>
      </c>
      <c r="B103" s="705" t="s">
        <v>1012</v>
      </c>
      <c r="C103" s="712"/>
      <c r="D103" s="731">
        <v>50</v>
      </c>
      <c r="E103" s="731">
        <v>50</v>
      </c>
    </row>
    <row r="104" spans="1:5" ht="12.75">
      <c r="A104" s="721" t="s">
        <v>1015</v>
      </c>
      <c r="B104" s="705" t="s">
        <v>1014</v>
      </c>
      <c r="C104" s="712"/>
      <c r="D104" s="731">
        <v>100</v>
      </c>
      <c r="E104" s="731">
        <v>100</v>
      </c>
    </row>
    <row r="105" spans="1:5" ht="22.5">
      <c r="A105" s="721" t="s">
        <v>1017</v>
      </c>
      <c r="B105" s="705" t="s">
        <v>1016</v>
      </c>
      <c r="C105" s="712"/>
      <c r="D105" s="731">
        <v>4731</v>
      </c>
      <c r="E105" s="731"/>
    </row>
    <row r="106" spans="1:5" ht="12.75">
      <c r="A106" s="721" t="s">
        <v>1019</v>
      </c>
      <c r="B106" s="705" t="s">
        <v>1018</v>
      </c>
      <c r="C106" s="712"/>
      <c r="D106" s="731">
        <v>812</v>
      </c>
      <c r="E106" s="731">
        <v>812</v>
      </c>
    </row>
    <row r="107" spans="1:5" ht="22.5">
      <c r="A107" s="721" t="s">
        <v>1021</v>
      </c>
      <c r="B107" s="705" t="s">
        <v>1020</v>
      </c>
      <c r="C107" s="712"/>
      <c r="D107" s="731">
        <v>11973</v>
      </c>
      <c r="E107" s="731">
        <v>11973</v>
      </c>
    </row>
    <row r="108" spans="1:5" ht="12.75">
      <c r="A108" s="721" t="s">
        <v>1023</v>
      </c>
      <c r="B108" s="705" t="s">
        <v>1022</v>
      </c>
      <c r="C108" s="712"/>
      <c r="D108" s="731">
        <v>50</v>
      </c>
      <c r="E108" s="731">
        <v>50</v>
      </c>
    </row>
    <row r="109" spans="1:5" ht="12.75">
      <c r="A109" s="721" t="s">
        <v>1025</v>
      </c>
      <c r="B109" s="705" t="s">
        <v>1024</v>
      </c>
      <c r="C109" s="712"/>
      <c r="D109" s="731">
        <v>100</v>
      </c>
      <c r="E109" s="731">
        <v>100</v>
      </c>
    </row>
    <row r="110" spans="1:5" ht="12.75">
      <c r="A110" s="721" t="s">
        <v>1027</v>
      </c>
      <c r="B110" s="705" t="s">
        <v>1026</v>
      </c>
      <c r="C110" s="712"/>
      <c r="D110" s="731">
        <v>500</v>
      </c>
      <c r="E110" s="731">
        <v>500</v>
      </c>
    </row>
    <row r="111" spans="1:5" ht="13.5" thickBot="1">
      <c r="A111" s="721" t="s">
        <v>1029</v>
      </c>
      <c r="B111" s="732" t="s">
        <v>1028</v>
      </c>
      <c r="C111" s="738"/>
      <c r="D111" s="739">
        <v>66</v>
      </c>
      <c r="E111" s="739">
        <v>66</v>
      </c>
    </row>
    <row r="112" spans="1:5" ht="13.5" thickBot="1">
      <c r="A112" s="721" t="s">
        <v>1031</v>
      </c>
      <c r="B112" s="740" t="s">
        <v>1030</v>
      </c>
      <c r="C112" s="723">
        <f>SUM(C113:C121)</f>
        <v>5396</v>
      </c>
      <c r="D112" s="724">
        <v>3763</v>
      </c>
      <c r="E112" s="724">
        <v>3763</v>
      </c>
    </row>
    <row r="113" spans="1:5" ht="12.75">
      <c r="A113" s="721" t="s">
        <v>1033</v>
      </c>
      <c r="B113" s="307" t="s">
        <v>1032</v>
      </c>
      <c r="C113" s="726">
        <v>1627</v>
      </c>
      <c r="D113" s="726">
        <v>2225</v>
      </c>
      <c r="E113" s="726">
        <v>2225</v>
      </c>
    </row>
    <row r="114" spans="1:5" ht="12.75">
      <c r="A114" s="721" t="s">
        <v>1035</v>
      </c>
      <c r="B114" s="709" t="s">
        <v>1034</v>
      </c>
      <c r="C114" s="727">
        <v>527</v>
      </c>
      <c r="D114" s="727">
        <v>32</v>
      </c>
      <c r="E114" s="727">
        <v>32</v>
      </c>
    </row>
    <row r="115" spans="1:5" ht="12.75">
      <c r="A115" s="721" t="s">
        <v>1037</v>
      </c>
      <c r="B115" s="709" t="s">
        <v>1036</v>
      </c>
      <c r="C115" s="727">
        <v>305</v>
      </c>
      <c r="D115" s="727">
        <v>187</v>
      </c>
      <c r="E115" s="727">
        <v>187</v>
      </c>
    </row>
    <row r="116" spans="1:5" ht="12.75">
      <c r="A116" s="721" t="s">
        <v>1039</v>
      </c>
      <c r="B116" s="709" t="s">
        <v>1038</v>
      </c>
      <c r="C116" s="727">
        <v>576</v>
      </c>
      <c r="D116" s="727">
        <v>350</v>
      </c>
      <c r="E116" s="727">
        <v>350</v>
      </c>
    </row>
    <row r="117" spans="1:5" ht="12.75">
      <c r="A117" s="721" t="s">
        <v>1041</v>
      </c>
      <c r="B117" s="709" t="s">
        <v>1040</v>
      </c>
      <c r="C117" s="727">
        <v>148</v>
      </c>
      <c r="D117" s="727">
        <v>80</v>
      </c>
      <c r="E117" s="727">
        <v>80</v>
      </c>
    </row>
    <row r="118" spans="1:5" ht="12.75">
      <c r="A118" s="721" t="s">
        <v>1043</v>
      </c>
      <c r="B118" s="709" t="s">
        <v>1042</v>
      </c>
      <c r="C118" s="727">
        <v>1213</v>
      </c>
      <c r="D118" s="727">
        <v>656</v>
      </c>
      <c r="E118" s="727">
        <v>656</v>
      </c>
    </row>
    <row r="119" spans="1:5" ht="12.75">
      <c r="A119" s="721" t="s">
        <v>1045</v>
      </c>
      <c r="B119" s="709" t="s">
        <v>1044</v>
      </c>
      <c r="C119" s="727">
        <v>465</v>
      </c>
      <c r="D119" s="727">
        <v>146</v>
      </c>
      <c r="E119" s="727">
        <v>146</v>
      </c>
    </row>
    <row r="120" spans="1:5" ht="12.75">
      <c r="A120" s="721" t="s">
        <v>1047</v>
      </c>
      <c r="B120" s="709" t="s">
        <v>1046</v>
      </c>
      <c r="C120" s="727">
        <v>535</v>
      </c>
      <c r="D120" s="727">
        <v>87</v>
      </c>
      <c r="E120" s="727">
        <v>87</v>
      </c>
    </row>
    <row r="121" spans="1:5" ht="13.5" thickBot="1">
      <c r="A121" s="721" t="s">
        <v>1048</v>
      </c>
      <c r="B121" s="741"/>
      <c r="C121" s="729"/>
      <c r="D121" s="729"/>
      <c r="E121" s="729"/>
    </row>
    <row r="122" spans="1:5" ht="13.5" thickBot="1">
      <c r="A122" s="721" t="s">
        <v>1050</v>
      </c>
      <c r="B122" s="740" t="s">
        <v>1049</v>
      </c>
      <c r="C122" s="724">
        <f>C123+C124+C125</f>
        <v>2446</v>
      </c>
      <c r="D122" s="724">
        <v>37824</v>
      </c>
      <c r="E122" s="724">
        <v>37052</v>
      </c>
    </row>
    <row r="123" spans="1:5" ht="12.75">
      <c r="A123" s="721" t="s">
        <v>1052</v>
      </c>
      <c r="B123" s="742" t="s">
        <v>1051</v>
      </c>
      <c r="C123" s="725"/>
      <c r="D123" s="725"/>
      <c r="E123" s="725"/>
    </row>
    <row r="124" spans="1:5" ht="12.75">
      <c r="A124" s="721" t="s">
        <v>1054</v>
      </c>
      <c r="B124" s="696" t="s">
        <v>1053</v>
      </c>
      <c r="C124" s="702">
        <v>2446</v>
      </c>
      <c r="D124" s="702">
        <v>1587</v>
      </c>
      <c r="E124" s="702">
        <v>815</v>
      </c>
    </row>
    <row r="125" spans="1:5" ht="12.75">
      <c r="A125" s="721" t="s">
        <v>1056</v>
      </c>
      <c r="B125" s="705" t="s">
        <v>1055</v>
      </c>
      <c r="C125" s="702"/>
      <c r="D125" s="702">
        <v>35775</v>
      </c>
      <c r="E125" s="702">
        <v>35775</v>
      </c>
    </row>
    <row r="126" spans="1:5" ht="12.75">
      <c r="A126" s="721" t="s">
        <v>1058</v>
      </c>
      <c r="B126" s="743" t="s">
        <v>1057</v>
      </c>
      <c r="C126" s="702"/>
      <c r="D126" s="713">
        <v>300</v>
      </c>
      <c r="E126" s="713">
        <v>300</v>
      </c>
    </row>
    <row r="127" spans="1:5" ht="13.5" thickBot="1">
      <c r="A127" s="721" t="s">
        <v>1419</v>
      </c>
      <c r="B127" s="744" t="s">
        <v>1059</v>
      </c>
      <c r="C127" s="745"/>
      <c r="D127" s="746">
        <v>162</v>
      </c>
      <c r="E127" s="746">
        <v>162</v>
      </c>
    </row>
    <row r="128" spans="1:5" ht="13.5" thickBot="1">
      <c r="A128" s="1051" t="s">
        <v>37</v>
      </c>
      <c r="B128" s="1052"/>
      <c r="C128" s="747">
        <f>C122+C112+C74+C6</f>
        <v>558319</v>
      </c>
      <c r="D128" s="747">
        <v>616264</v>
      </c>
      <c r="E128" s="747">
        <f>E6+E74+E122</f>
        <v>606718</v>
      </c>
    </row>
  </sheetData>
  <sheetProtection/>
  <mergeCells count="4">
    <mergeCell ref="A1:D1"/>
    <mergeCell ref="A3:D3"/>
    <mergeCell ref="A2:D2"/>
    <mergeCell ref="A128:B128"/>
  </mergeCells>
  <conditionalFormatting sqref="C128">
    <cfRule type="cellIs" priority="3" dxfId="8" operator="equal" stopIfTrue="1">
      <formula>0</formula>
    </cfRule>
  </conditionalFormatting>
  <conditionalFormatting sqref="D128">
    <cfRule type="cellIs" priority="4" dxfId="8" operator="equal" stopIfTrue="1">
      <formula>0</formula>
    </cfRule>
  </conditionalFormatting>
  <conditionalFormatting sqref="E128">
    <cfRule type="cellIs" priority="2" dxfId="8" operator="equal" stopIfTrue="1">
      <formula>0</formula>
    </cfRule>
  </conditionalFormatting>
  <printOptions horizontalCentered="1"/>
  <pageMargins left="0.1968503937007874" right="0.1968503937007874" top="0.984251968503937" bottom="0.984251968503937" header="0.7874015748031497" footer="0.7874015748031497"/>
  <pageSetup fitToHeight="3" fitToWidth="1" horizontalDpi="600" verticalDpi="600" orientation="portrait" paperSize="9" scale="76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86"/>
  <sheetViews>
    <sheetView tabSelected="1" zoomScale="120" zoomScaleNormal="120" zoomScaleSheetLayoutView="120" workbookViewId="0" topLeftCell="A70">
      <selection activeCell="P75" sqref="P75"/>
    </sheetView>
  </sheetViews>
  <sheetFormatPr defaultColWidth="9.00390625" defaultRowHeight="12.75"/>
  <cols>
    <col min="1" max="1" width="8.125" style="863" customWidth="1"/>
    <col min="2" max="2" width="44.00390625" style="863" bestFit="1" customWidth="1"/>
    <col min="3" max="3" width="14.875" style="863" bestFit="1" customWidth="1"/>
    <col min="4" max="4" width="12.375" style="863" customWidth="1"/>
    <col min="5" max="5" width="14.875" style="863" bestFit="1" customWidth="1"/>
    <col min="6" max="6" width="13.50390625" style="863" bestFit="1" customWidth="1"/>
    <col min="7" max="7" width="10.00390625" style="863" bestFit="1" customWidth="1"/>
    <col min="8" max="9" width="9.375" style="863" customWidth="1"/>
    <col min="10" max="10" width="12.625" style="863" bestFit="1" customWidth="1"/>
    <col min="11" max="11" width="11.125" style="863" bestFit="1" customWidth="1"/>
    <col min="12" max="16384" width="9.375" style="863" customWidth="1"/>
  </cols>
  <sheetData>
    <row r="1" spans="1:7" ht="21" customHeight="1">
      <c r="A1" s="1053" t="s">
        <v>1259</v>
      </c>
      <c r="B1" s="1054"/>
      <c r="C1" s="1054"/>
      <c r="D1" s="1054"/>
      <c r="E1" s="1054"/>
      <c r="F1" s="892"/>
      <c r="G1" s="892"/>
    </row>
    <row r="2" spans="1:7" ht="24">
      <c r="A2" s="864" t="s">
        <v>823</v>
      </c>
      <c r="B2" s="864" t="s">
        <v>44</v>
      </c>
      <c r="C2" s="864" t="s">
        <v>1061</v>
      </c>
      <c r="D2" s="864" t="s">
        <v>1062</v>
      </c>
      <c r="E2" s="864" t="s">
        <v>1063</v>
      </c>
      <c r="F2" s="893" t="s">
        <v>1218</v>
      </c>
      <c r="G2" s="893" t="s">
        <v>1219</v>
      </c>
    </row>
    <row r="3" spans="1:7" ht="12">
      <c r="A3" s="864">
        <v>1</v>
      </c>
      <c r="B3" s="864">
        <v>2</v>
      </c>
      <c r="C3" s="864">
        <v>3</v>
      </c>
      <c r="D3" s="864">
        <v>4</v>
      </c>
      <c r="E3" s="864">
        <v>5</v>
      </c>
      <c r="F3" s="893">
        <v>6</v>
      </c>
      <c r="G3" s="893">
        <v>7</v>
      </c>
    </row>
    <row r="4" spans="1:7" ht="12">
      <c r="A4" s="865" t="s">
        <v>38</v>
      </c>
      <c r="B4" s="866" t="s">
        <v>1064</v>
      </c>
      <c r="C4" s="867">
        <v>952660</v>
      </c>
      <c r="D4" s="867">
        <v>0</v>
      </c>
      <c r="E4" s="867">
        <v>0</v>
      </c>
      <c r="F4" s="868">
        <f>E4-C4</f>
        <v>-952660</v>
      </c>
      <c r="G4" s="869">
        <f>E4/C4</f>
        <v>0</v>
      </c>
    </row>
    <row r="5" spans="1:7" ht="12">
      <c r="A5" s="865" t="s">
        <v>42</v>
      </c>
      <c r="B5" s="866" t="s">
        <v>1065</v>
      </c>
      <c r="C5" s="867">
        <v>275451</v>
      </c>
      <c r="D5" s="867">
        <v>0</v>
      </c>
      <c r="E5" s="867">
        <v>507288</v>
      </c>
      <c r="F5" s="868">
        <f aca="true" t="shared" si="0" ref="F5:F68">E5-C5</f>
        <v>231837</v>
      </c>
      <c r="G5" s="869">
        <f aca="true" t="shared" si="1" ref="G5:G68">E5/C5</f>
        <v>1.8416633085376346</v>
      </c>
    </row>
    <row r="6" spans="1:7" s="875" customFormat="1" ht="12">
      <c r="A6" s="870" t="s">
        <v>863</v>
      </c>
      <c r="B6" s="871" t="s">
        <v>1066</v>
      </c>
      <c r="C6" s="872">
        <v>1228111</v>
      </c>
      <c r="D6" s="872">
        <v>0</v>
      </c>
      <c r="E6" s="872">
        <v>507288</v>
      </c>
      <c r="F6" s="873">
        <f t="shared" si="0"/>
        <v>-720823</v>
      </c>
      <c r="G6" s="874">
        <f t="shared" si="1"/>
        <v>0.41306364001299556</v>
      </c>
    </row>
    <row r="7" spans="1:7" ht="24">
      <c r="A7" s="865" t="s">
        <v>842</v>
      </c>
      <c r="B7" s="866" t="s">
        <v>1067</v>
      </c>
      <c r="C7" s="867">
        <v>4536165969</v>
      </c>
      <c r="D7" s="867">
        <v>0</v>
      </c>
      <c r="E7" s="867">
        <v>5005904850</v>
      </c>
      <c r="F7" s="868">
        <f t="shared" si="0"/>
        <v>469738881</v>
      </c>
      <c r="G7" s="869">
        <f t="shared" si="1"/>
        <v>1.103554165392135</v>
      </c>
    </row>
    <row r="8" spans="1:7" ht="12">
      <c r="A8" s="865" t="s">
        <v>844</v>
      </c>
      <c r="B8" s="866" t="s">
        <v>1068</v>
      </c>
      <c r="C8" s="867">
        <v>88690268</v>
      </c>
      <c r="D8" s="867">
        <v>0</v>
      </c>
      <c r="E8" s="867">
        <v>73529539</v>
      </c>
      <c r="F8" s="868">
        <f t="shared" si="0"/>
        <v>-15160729</v>
      </c>
      <c r="G8" s="869">
        <f t="shared" si="1"/>
        <v>0.8290598355165643</v>
      </c>
    </row>
    <row r="9" spans="1:7" ht="12">
      <c r="A9" s="865" t="s">
        <v>865</v>
      </c>
      <c r="B9" s="866" t="s">
        <v>1069</v>
      </c>
      <c r="C9" s="867">
        <v>544937821</v>
      </c>
      <c r="D9" s="867">
        <v>0</v>
      </c>
      <c r="E9" s="867">
        <v>497120457</v>
      </c>
      <c r="F9" s="868">
        <f t="shared" si="0"/>
        <v>-47817364</v>
      </c>
      <c r="G9" s="869">
        <f t="shared" si="1"/>
        <v>0.9122517062364075</v>
      </c>
    </row>
    <row r="10" spans="1:7" s="875" customFormat="1" ht="12">
      <c r="A10" s="870" t="s">
        <v>850</v>
      </c>
      <c r="B10" s="871" t="s">
        <v>1070</v>
      </c>
      <c r="C10" s="872">
        <v>5169794058</v>
      </c>
      <c r="D10" s="872">
        <v>0</v>
      </c>
      <c r="E10" s="872">
        <v>5576554846</v>
      </c>
      <c r="F10" s="873">
        <f t="shared" si="0"/>
        <v>406760788</v>
      </c>
      <c r="G10" s="874">
        <f t="shared" si="1"/>
        <v>1.0786802691628612</v>
      </c>
    </row>
    <row r="11" spans="1:7" ht="24">
      <c r="A11" s="865" t="s">
        <v>852</v>
      </c>
      <c r="B11" s="866" t="s">
        <v>1071</v>
      </c>
      <c r="C11" s="867">
        <v>24940000</v>
      </c>
      <c r="D11" s="867">
        <v>0</v>
      </c>
      <c r="E11" s="867">
        <v>24540000</v>
      </c>
      <c r="F11" s="868">
        <f t="shared" si="0"/>
        <v>-400000</v>
      </c>
      <c r="G11" s="869">
        <f t="shared" si="1"/>
        <v>0.9839615076182838</v>
      </c>
    </row>
    <row r="12" spans="1:7" ht="24">
      <c r="A12" s="865" t="s">
        <v>867</v>
      </c>
      <c r="B12" s="866" t="s">
        <v>1072</v>
      </c>
      <c r="C12" s="867">
        <v>24940000</v>
      </c>
      <c r="D12" s="867">
        <v>0</v>
      </c>
      <c r="E12" s="867">
        <v>24540000</v>
      </c>
      <c r="F12" s="868">
        <f t="shared" si="0"/>
        <v>-400000</v>
      </c>
      <c r="G12" s="869">
        <f t="shared" si="1"/>
        <v>0.9839615076182838</v>
      </c>
    </row>
    <row r="13" spans="1:7" s="875" customFormat="1" ht="24">
      <c r="A13" s="870" t="s">
        <v>1073</v>
      </c>
      <c r="B13" s="871" t="s">
        <v>1074</v>
      </c>
      <c r="C13" s="872">
        <v>24940000</v>
      </c>
      <c r="D13" s="872">
        <v>0</v>
      </c>
      <c r="E13" s="872">
        <v>24540000</v>
      </c>
      <c r="F13" s="873">
        <f t="shared" si="0"/>
        <v>-400000</v>
      </c>
      <c r="G13" s="874">
        <f t="shared" si="1"/>
        <v>0.9839615076182838</v>
      </c>
    </row>
    <row r="14" spans="1:7" s="875" customFormat="1" ht="36">
      <c r="A14" s="870" t="s">
        <v>1075</v>
      </c>
      <c r="B14" s="871" t="s">
        <v>1076</v>
      </c>
      <c r="C14" s="872">
        <v>5195962169</v>
      </c>
      <c r="D14" s="872">
        <v>0</v>
      </c>
      <c r="E14" s="872">
        <v>5601602134</v>
      </c>
      <c r="F14" s="873">
        <f t="shared" si="0"/>
        <v>405639965</v>
      </c>
      <c r="G14" s="874">
        <f t="shared" si="1"/>
        <v>1.0780683060820029</v>
      </c>
    </row>
    <row r="15" spans="1:7" ht="12">
      <c r="A15" s="865" t="s">
        <v>873</v>
      </c>
      <c r="B15" s="866" t="s">
        <v>1077</v>
      </c>
      <c r="C15" s="867">
        <v>177200</v>
      </c>
      <c r="D15" s="867">
        <v>0</v>
      </c>
      <c r="E15" s="867">
        <v>177200</v>
      </c>
      <c r="F15" s="868">
        <f t="shared" si="0"/>
        <v>0</v>
      </c>
      <c r="G15" s="869">
        <f t="shared" si="1"/>
        <v>1</v>
      </c>
    </row>
    <row r="16" spans="1:7" s="875" customFormat="1" ht="12">
      <c r="A16" s="870" t="s">
        <v>875</v>
      </c>
      <c r="B16" s="871" t="s">
        <v>1078</v>
      </c>
      <c r="C16" s="872">
        <v>177200</v>
      </c>
      <c r="D16" s="872">
        <v>0</v>
      </c>
      <c r="E16" s="872">
        <v>177200</v>
      </c>
      <c r="F16" s="873">
        <f t="shared" si="0"/>
        <v>0</v>
      </c>
      <c r="G16" s="874">
        <f t="shared" si="1"/>
        <v>1</v>
      </c>
    </row>
    <row r="17" spans="1:7" s="875" customFormat="1" ht="24">
      <c r="A17" s="870" t="s">
        <v>1079</v>
      </c>
      <c r="B17" s="871" t="s">
        <v>1080</v>
      </c>
      <c r="C17" s="872">
        <v>177200</v>
      </c>
      <c r="D17" s="872">
        <v>0</v>
      </c>
      <c r="E17" s="872">
        <v>177200</v>
      </c>
      <c r="F17" s="873">
        <f t="shared" si="0"/>
        <v>0</v>
      </c>
      <c r="G17" s="874">
        <f t="shared" si="1"/>
        <v>1</v>
      </c>
    </row>
    <row r="18" spans="1:7" ht="12">
      <c r="A18" s="865" t="s">
        <v>1081</v>
      </c>
      <c r="B18" s="866" t="s">
        <v>1082</v>
      </c>
      <c r="C18" s="867">
        <v>565200</v>
      </c>
      <c r="D18" s="867">
        <v>0</v>
      </c>
      <c r="E18" s="867">
        <v>347210</v>
      </c>
      <c r="F18" s="868">
        <f t="shared" si="0"/>
        <v>-217990</v>
      </c>
      <c r="G18" s="869">
        <f t="shared" si="1"/>
        <v>0.6143135173389951</v>
      </c>
    </row>
    <row r="19" spans="1:7" ht="12">
      <c r="A19" s="865" t="s">
        <v>1083</v>
      </c>
      <c r="B19" s="866" t="s">
        <v>1084</v>
      </c>
      <c r="C19" s="867">
        <v>148758</v>
      </c>
      <c r="D19" s="867">
        <v>0</v>
      </c>
      <c r="E19" s="867">
        <v>142813</v>
      </c>
      <c r="F19" s="868">
        <f t="shared" si="0"/>
        <v>-5945</v>
      </c>
      <c r="G19" s="869">
        <f t="shared" si="1"/>
        <v>0.9600357627825058</v>
      </c>
    </row>
    <row r="20" spans="1:7" s="875" customFormat="1" ht="24">
      <c r="A20" s="870" t="s">
        <v>1085</v>
      </c>
      <c r="B20" s="871" t="s">
        <v>1086</v>
      </c>
      <c r="C20" s="872">
        <v>713958</v>
      </c>
      <c r="D20" s="872">
        <v>0</v>
      </c>
      <c r="E20" s="872">
        <v>490023</v>
      </c>
      <c r="F20" s="873">
        <f t="shared" si="0"/>
        <v>-223935</v>
      </c>
      <c r="G20" s="874">
        <f t="shared" si="1"/>
        <v>0.6863470960476666</v>
      </c>
    </row>
    <row r="21" spans="1:7" ht="12">
      <c r="A21" s="865" t="s">
        <v>1087</v>
      </c>
      <c r="B21" s="866" t="s">
        <v>1088</v>
      </c>
      <c r="C21" s="867">
        <v>181175007</v>
      </c>
      <c r="D21" s="867">
        <v>0</v>
      </c>
      <c r="E21" s="867">
        <v>168633754</v>
      </c>
      <c r="F21" s="868">
        <f t="shared" si="0"/>
        <v>-12541253</v>
      </c>
      <c r="G21" s="869">
        <f t="shared" si="1"/>
        <v>0.9307782391861589</v>
      </c>
    </row>
    <row r="22" spans="1:7" ht="12">
      <c r="A22" s="865" t="s">
        <v>1089</v>
      </c>
      <c r="B22" s="866" t="s">
        <v>1090</v>
      </c>
      <c r="C22" s="867">
        <v>655565702</v>
      </c>
      <c r="D22" s="867">
        <v>0</v>
      </c>
      <c r="E22" s="867">
        <v>300509257</v>
      </c>
      <c r="F22" s="868">
        <f t="shared" si="0"/>
        <v>-355056445</v>
      </c>
      <c r="G22" s="869">
        <f t="shared" si="1"/>
        <v>0.4583968564603155</v>
      </c>
    </row>
    <row r="23" spans="1:7" s="875" customFormat="1" ht="12">
      <c r="A23" s="870" t="s">
        <v>1091</v>
      </c>
      <c r="B23" s="871" t="s">
        <v>1092</v>
      </c>
      <c r="C23" s="872">
        <v>836740709</v>
      </c>
      <c r="D23" s="872">
        <v>0</v>
      </c>
      <c r="E23" s="872">
        <v>469143011</v>
      </c>
      <c r="F23" s="873">
        <f t="shared" si="0"/>
        <v>-367597698</v>
      </c>
      <c r="G23" s="874">
        <f t="shared" si="1"/>
        <v>0.560679080094811</v>
      </c>
    </row>
    <row r="24" spans="1:7" ht="12">
      <c r="A24" s="865" t="s">
        <v>1093</v>
      </c>
      <c r="B24" s="866" t="s">
        <v>1094</v>
      </c>
      <c r="C24" s="867">
        <v>6228799</v>
      </c>
      <c r="D24" s="867">
        <v>0</v>
      </c>
      <c r="E24" s="867">
        <v>6195033</v>
      </c>
      <c r="F24" s="868">
        <f t="shared" si="0"/>
        <v>-33766</v>
      </c>
      <c r="G24" s="869">
        <f t="shared" si="1"/>
        <v>0.9945790512745716</v>
      </c>
    </row>
    <row r="25" spans="1:7" s="875" customFormat="1" ht="12">
      <c r="A25" s="870" t="s">
        <v>1095</v>
      </c>
      <c r="B25" s="871" t="s">
        <v>1096</v>
      </c>
      <c r="C25" s="872">
        <v>6228799</v>
      </c>
      <c r="D25" s="872">
        <v>0</v>
      </c>
      <c r="E25" s="872">
        <v>6195033</v>
      </c>
      <c r="F25" s="873">
        <f t="shared" si="0"/>
        <v>-33766</v>
      </c>
      <c r="G25" s="874">
        <f t="shared" si="1"/>
        <v>0.9945790512745716</v>
      </c>
    </row>
    <row r="26" spans="1:10" s="875" customFormat="1" ht="12">
      <c r="A26" s="870" t="s">
        <v>1097</v>
      </c>
      <c r="B26" s="871" t="s">
        <v>1098</v>
      </c>
      <c r="C26" s="872">
        <v>843683466</v>
      </c>
      <c r="D26" s="872">
        <v>0</v>
      </c>
      <c r="E26" s="872">
        <v>475828067</v>
      </c>
      <c r="F26" s="873">
        <f t="shared" si="0"/>
        <v>-367855399</v>
      </c>
      <c r="G26" s="874">
        <f t="shared" si="1"/>
        <v>0.5639888491070655</v>
      </c>
      <c r="J26" s="1075"/>
    </row>
    <row r="27" spans="1:7" ht="36">
      <c r="A27" s="865" t="s">
        <v>1099</v>
      </c>
      <c r="B27" s="866" t="s">
        <v>1100</v>
      </c>
      <c r="C27" s="867">
        <v>0</v>
      </c>
      <c r="D27" s="867">
        <v>0</v>
      </c>
      <c r="E27" s="867">
        <v>50513673</v>
      </c>
      <c r="F27" s="868">
        <f t="shared" si="0"/>
        <v>50513673</v>
      </c>
      <c r="G27" s="869"/>
    </row>
    <row r="28" spans="1:7" ht="24">
      <c r="A28" s="865" t="s">
        <v>1101</v>
      </c>
      <c r="B28" s="866" t="s">
        <v>1102</v>
      </c>
      <c r="C28" s="867">
        <v>16055860</v>
      </c>
      <c r="D28" s="867">
        <v>0</v>
      </c>
      <c r="E28" s="867">
        <v>10895995</v>
      </c>
      <c r="F28" s="868">
        <f t="shared" si="0"/>
        <v>-5159865</v>
      </c>
      <c r="G28" s="869">
        <f t="shared" si="1"/>
        <v>0.6786304190494935</v>
      </c>
    </row>
    <row r="29" spans="1:7" ht="24">
      <c r="A29" s="865" t="s">
        <v>1103</v>
      </c>
      <c r="B29" s="866" t="s">
        <v>1104</v>
      </c>
      <c r="C29" s="867">
        <v>2508110</v>
      </c>
      <c r="D29" s="867">
        <v>0</v>
      </c>
      <c r="E29" s="867">
        <v>3218573</v>
      </c>
      <c r="F29" s="868">
        <f t="shared" si="0"/>
        <v>710463</v>
      </c>
      <c r="G29" s="869">
        <f t="shared" si="1"/>
        <v>1.2832662841741391</v>
      </c>
    </row>
    <row r="30" spans="1:7" ht="24">
      <c r="A30" s="865" t="s">
        <v>1105</v>
      </c>
      <c r="B30" s="866" t="s">
        <v>1106</v>
      </c>
      <c r="C30" s="867">
        <v>9261362</v>
      </c>
      <c r="D30" s="867">
        <v>0</v>
      </c>
      <c r="E30" s="867">
        <v>5666545</v>
      </c>
      <c r="F30" s="868">
        <f t="shared" si="0"/>
        <v>-3594817</v>
      </c>
      <c r="G30" s="869">
        <f t="shared" si="1"/>
        <v>0.6118479117866249</v>
      </c>
    </row>
    <row r="31" spans="1:7" ht="24">
      <c r="A31" s="865" t="s">
        <v>1107</v>
      </c>
      <c r="B31" s="866" t="s">
        <v>1108</v>
      </c>
      <c r="C31" s="867">
        <v>4286388</v>
      </c>
      <c r="D31" s="867">
        <v>0</v>
      </c>
      <c r="E31" s="867">
        <v>2010877</v>
      </c>
      <c r="F31" s="868">
        <f t="shared" si="0"/>
        <v>-2275511</v>
      </c>
      <c r="G31" s="869">
        <f t="shared" si="1"/>
        <v>0.46913088595806074</v>
      </c>
    </row>
    <row r="32" spans="1:7" ht="24">
      <c r="A32" s="865" t="s">
        <v>1109</v>
      </c>
      <c r="B32" s="866" t="s">
        <v>1110</v>
      </c>
      <c r="C32" s="867">
        <v>7258015</v>
      </c>
      <c r="D32" s="867">
        <v>0</v>
      </c>
      <c r="E32" s="867">
        <v>7597368</v>
      </c>
      <c r="F32" s="868">
        <f t="shared" si="0"/>
        <v>339353</v>
      </c>
      <c r="G32" s="869">
        <f t="shared" si="1"/>
        <v>1.0467556211994602</v>
      </c>
    </row>
    <row r="33" spans="1:7" ht="48">
      <c r="A33" s="865" t="s">
        <v>1111</v>
      </c>
      <c r="B33" s="866" t="s">
        <v>1112</v>
      </c>
      <c r="C33" s="867">
        <v>2449909</v>
      </c>
      <c r="D33" s="867">
        <v>0</v>
      </c>
      <c r="E33" s="867">
        <v>3161228</v>
      </c>
      <c r="F33" s="868">
        <f t="shared" si="0"/>
        <v>711319</v>
      </c>
      <c r="G33" s="869">
        <f t="shared" si="1"/>
        <v>1.2903450699597414</v>
      </c>
    </row>
    <row r="34" spans="1:11" ht="24">
      <c r="A34" s="865" t="s">
        <v>1113</v>
      </c>
      <c r="B34" s="866" t="s">
        <v>1114</v>
      </c>
      <c r="C34" s="867">
        <v>528032</v>
      </c>
      <c r="D34" s="867">
        <v>0</v>
      </c>
      <c r="E34" s="867">
        <v>0</v>
      </c>
      <c r="F34" s="868">
        <f t="shared" si="0"/>
        <v>-528032</v>
      </c>
      <c r="G34" s="869">
        <f t="shared" si="1"/>
        <v>0</v>
      </c>
      <c r="K34" s="1074"/>
    </row>
    <row r="35" spans="1:7" ht="24">
      <c r="A35" s="865" t="s">
        <v>1115</v>
      </c>
      <c r="B35" s="866" t="s">
        <v>1116</v>
      </c>
      <c r="C35" s="867">
        <v>223328</v>
      </c>
      <c r="D35" s="867">
        <v>0</v>
      </c>
      <c r="E35" s="867">
        <v>173366</v>
      </c>
      <c r="F35" s="868">
        <f t="shared" si="0"/>
        <v>-49962</v>
      </c>
      <c r="G35" s="869">
        <f t="shared" si="1"/>
        <v>0.7762842097721737</v>
      </c>
    </row>
    <row r="36" spans="1:7" ht="24">
      <c r="A36" s="865" t="s">
        <v>1117</v>
      </c>
      <c r="B36" s="866" t="s">
        <v>1118</v>
      </c>
      <c r="C36" s="867">
        <v>3908603</v>
      </c>
      <c r="D36" s="867">
        <v>0</v>
      </c>
      <c r="E36" s="867">
        <v>3738937</v>
      </c>
      <c r="F36" s="868">
        <f t="shared" si="0"/>
        <v>-169666</v>
      </c>
      <c r="G36" s="869">
        <f t="shared" si="1"/>
        <v>0.9565916517998886</v>
      </c>
    </row>
    <row r="37" spans="1:7" ht="36">
      <c r="A37" s="865" t="s">
        <v>1119</v>
      </c>
      <c r="B37" s="866" t="s">
        <v>1120</v>
      </c>
      <c r="C37" s="867">
        <v>147388</v>
      </c>
      <c r="D37" s="867">
        <v>0</v>
      </c>
      <c r="E37" s="867">
        <v>136996</v>
      </c>
      <c r="F37" s="868">
        <f t="shared" si="0"/>
        <v>-10392</v>
      </c>
      <c r="G37" s="869">
        <f t="shared" si="1"/>
        <v>0.9294922246044454</v>
      </c>
    </row>
    <row r="38" spans="1:7" ht="24">
      <c r="A38" s="865" t="s">
        <v>1121</v>
      </c>
      <c r="B38" s="866" t="s">
        <v>1122</v>
      </c>
      <c r="C38" s="867">
        <v>0</v>
      </c>
      <c r="D38" s="867">
        <v>0</v>
      </c>
      <c r="E38" s="867">
        <v>386086</v>
      </c>
      <c r="F38" s="868">
        <f t="shared" si="0"/>
        <v>386086</v>
      </c>
      <c r="G38" s="869"/>
    </row>
    <row r="39" spans="1:7" ht="24">
      <c r="A39" s="865" t="s">
        <v>1123</v>
      </c>
      <c r="B39" s="866" t="s">
        <v>1124</v>
      </c>
      <c r="C39" s="867">
        <v>755</v>
      </c>
      <c r="D39" s="867">
        <v>0</v>
      </c>
      <c r="E39" s="867">
        <v>755</v>
      </c>
      <c r="F39" s="868">
        <f t="shared" si="0"/>
        <v>0</v>
      </c>
      <c r="G39" s="869">
        <f t="shared" si="1"/>
        <v>1</v>
      </c>
    </row>
    <row r="40" spans="1:7" ht="24">
      <c r="A40" s="865" t="s">
        <v>1125</v>
      </c>
      <c r="B40" s="866" t="s">
        <v>1126</v>
      </c>
      <c r="C40" s="867">
        <v>3839</v>
      </c>
      <c r="D40" s="867">
        <v>0</v>
      </c>
      <c r="E40" s="867">
        <v>3839</v>
      </c>
      <c r="F40" s="868">
        <f t="shared" si="0"/>
        <v>0</v>
      </c>
      <c r="G40" s="869">
        <f t="shared" si="1"/>
        <v>1</v>
      </c>
    </row>
    <row r="41" spans="1:7" ht="24">
      <c r="A41" s="865" t="s">
        <v>1127</v>
      </c>
      <c r="B41" s="866" t="s">
        <v>1128</v>
      </c>
      <c r="C41" s="867">
        <v>3839</v>
      </c>
      <c r="D41" s="867">
        <v>0</v>
      </c>
      <c r="E41" s="867">
        <v>3839</v>
      </c>
      <c r="F41" s="868">
        <f t="shared" si="0"/>
        <v>0</v>
      </c>
      <c r="G41" s="869">
        <f t="shared" si="1"/>
        <v>1</v>
      </c>
    </row>
    <row r="42" spans="1:7" ht="36">
      <c r="A42" s="865" t="s">
        <v>1129</v>
      </c>
      <c r="B42" s="866" t="s">
        <v>1130</v>
      </c>
      <c r="C42" s="867">
        <v>6183685</v>
      </c>
      <c r="D42" s="867">
        <v>0</v>
      </c>
      <c r="E42" s="867">
        <v>6107312</v>
      </c>
      <c r="F42" s="868">
        <f t="shared" si="0"/>
        <v>-76373</v>
      </c>
      <c r="G42" s="869">
        <f t="shared" si="1"/>
        <v>0.9876492738553144</v>
      </c>
    </row>
    <row r="43" spans="1:7" ht="48">
      <c r="A43" s="865" t="s">
        <v>1131</v>
      </c>
      <c r="B43" s="866" t="s">
        <v>1132</v>
      </c>
      <c r="C43" s="867">
        <v>1944926</v>
      </c>
      <c r="D43" s="867">
        <v>0</v>
      </c>
      <c r="E43" s="867">
        <v>1944926</v>
      </c>
      <c r="F43" s="868">
        <f t="shared" si="0"/>
        <v>0</v>
      </c>
      <c r="G43" s="869">
        <f t="shared" si="1"/>
        <v>1</v>
      </c>
    </row>
    <row r="44" spans="1:7" ht="36">
      <c r="A44" s="865" t="s">
        <v>1133</v>
      </c>
      <c r="B44" s="866" t="s">
        <v>1134</v>
      </c>
      <c r="C44" s="867">
        <v>34847714</v>
      </c>
      <c r="D44" s="867">
        <v>0</v>
      </c>
      <c r="E44" s="867">
        <v>34787245</v>
      </c>
      <c r="F44" s="868">
        <f t="shared" si="0"/>
        <v>-60469</v>
      </c>
      <c r="G44" s="869">
        <f t="shared" si="1"/>
        <v>0.9982647642252803</v>
      </c>
    </row>
    <row r="45" spans="1:7" ht="48">
      <c r="A45" s="865" t="s">
        <v>879</v>
      </c>
      <c r="B45" s="866" t="s">
        <v>1135</v>
      </c>
      <c r="C45" s="867">
        <v>34847714</v>
      </c>
      <c r="D45" s="867">
        <v>0</v>
      </c>
      <c r="E45" s="867">
        <v>34787245</v>
      </c>
      <c r="F45" s="868">
        <f t="shared" si="0"/>
        <v>-60469</v>
      </c>
      <c r="G45" s="869">
        <f t="shared" si="1"/>
        <v>0.9982647642252803</v>
      </c>
    </row>
    <row r="46" spans="1:7" s="875" customFormat="1" ht="24">
      <c r="A46" s="870" t="s">
        <v>1136</v>
      </c>
      <c r="B46" s="871" t="s">
        <v>1137</v>
      </c>
      <c r="C46" s="872">
        <v>64349113</v>
      </c>
      <c r="D46" s="872">
        <v>0</v>
      </c>
      <c r="E46" s="872">
        <v>109905432</v>
      </c>
      <c r="F46" s="873">
        <f t="shared" si="0"/>
        <v>45556319</v>
      </c>
      <c r="G46" s="874">
        <f t="shared" si="1"/>
        <v>1.7079556636623725</v>
      </c>
    </row>
    <row r="47" spans="1:7" ht="12">
      <c r="A47" s="865" t="s">
        <v>1138</v>
      </c>
      <c r="B47" s="866" t="s">
        <v>1139</v>
      </c>
      <c r="C47" s="867">
        <v>100888</v>
      </c>
      <c r="D47" s="867">
        <v>0</v>
      </c>
      <c r="E47" s="867">
        <v>80888</v>
      </c>
      <c r="F47" s="868">
        <f t="shared" si="0"/>
        <v>-20000</v>
      </c>
      <c r="G47" s="869">
        <f t="shared" si="1"/>
        <v>0.8017603679327571</v>
      </c>
    </row>
    <row r="48" spans="1:7" ht="12">
      <c r="A48" s="865" t="s">
        <v>1140</v>
      </c>
      <c r="B48" s="866" t="s">
        <v>1141</v>
      </c>
      <c r="C48" s="867">
        <v>40000</v>
      </c>
      <c r="D48" s="867">
        <v>0</v>
      </c>
      <c r="E48" s="867">
        <v>20000</v>
      </c>
      <c r="F48" s="868">
        <f t="shared" si="0"/>
        <v>-20000</v>
      </c>
      <c r="G48" s="869">
        <f t="shared" si="1"/>
        <v>0.5</v>
      </c>
    </row>
    <row r="49" spans="1:7" ht="24">
      <c r="A49" s="865" t="s">
        <v>1142</v>
      </c>
      <c r="B49" s="866" t="s">
        <v>1143</v>
      </c>
      <c r="C49" s="867">
        <v>60888</v>
      </c>
      <c r="D49" s="867">
        <v>0</v>
      </c>
      <c r="E49" s="867">
        <v>60888</v>
      </c>
      <c r="F49" s="868">
        <f t="shared" si="0"/>
        <v>0</v>
      </c>
      <c r="G49" s="869">
        <f t="shared" si="1"/>
        <v>1</v>
      </c>
    </row>
    <row r="50" spans="1:7" ht="12">
      <c r="A50" s="865" t="s">
        <v>1144</v>
      </c>
      <c r="B50" s="866" t="s">
        <v>1145</v>
      </c>
      <c r="C50" s="867">
        <v>400000</v>
      </c>
      <c r="D50" s="867">
        <v>0</v>
      </c>
      <c r="E50" s="867">
        <v>400000</v>
      </c>
      <c r="F50" s="868">
        <f t="shared" si="0"/>
        <v>0</v>
      </c>
      <c r="G50" s="869">
        <f t="shared" si="1"/>
        <v>1</v>
      </c>
    </row>
    <row r="51" spans="1:7" s="875" customFormat="1" ht="24">
      <c r="A51" s="870" t="s">
        <v>1146</v>
      </c>
      <c r="B51" s="871" t="s">
        <v>1147</v>
      </c>
      <c r="C51" s="872">
        <v>500888</v>
      </c>
      <c r="D51" s="872">
        <v>0</v>
      </c>
      <c r="E51" s="872">
        <v>480888</v>
      </c>
      <c r="F51" s="873">
        <f t="shared" si="0"/>
        <v>-20000</v>
      </c>
      <c r="G51" s="874">
        <f t="shared" si="1"/>
        <v>0.9600709140566354</v>
      </c>
    </row>
    <row r="52" spans="1:7" s="875" customFormat="1" ht="12">
      <c r="A52" s="870" t="s">
        <v>1148</v>
      </c>
      <c r="B52" s="871" t="s">
        <v>1149</v>
      </c>
      <c r="C52" s="872">
        <v>64850001</v>
      </c>
      <c r="D52" s="872">
        <v>0</v>
      </c>
      <c r="E52" s="872">
        <v>110386320</v>
      </c>
      <c r="F52" s="873">
        <f t="shared" si="0"/>
        <v>45536319</v>
      </c>
      <c r="G52" s="874">
        <f t="shared" si="1"/>
        <v>1.7021791564814317</v>
      </c>
    </row>
    <row r="53" spans="1:7" ht="24">
      <c r="A53" s="865" t="s">
        <v>1150</v>
      </c>
      <c r="B53" s="866" t="s">
        <v>1151</v>
      </c>
      <c r="C53" s="867">
        <v>690067</v>
      </c>
      <c r="D53" s="867">
        <v>0</v>
      </c>
      <c r="E53" s="867">
        <v>4871459</v>
      </c>
      <c r="F53" s="868">
        <f t="shared" si="0"/>
        <v>4181392</v>
      </c>
      <c r="G53" s="869">
        <f t="shared" si="1"/>
        <v>7.05940002927252</v>
      </c>
    </row>
    <row r="54" spans="1:7" s="875" customFormat="1" ht="24">
      <c r="A54" s="870" t="s">
        <v>1152</v>
      </c>
      <c r="B54" s="871" t="s">
        <v>1153</v>
      </c>
      <c r="C54" s="872">
        <v>690067</v>
      </c>
      <c r="D54" s="872">
        <v>0</v>
      </c>
      <c r="E54" s="872">
        <v>4871459</v>
      </c>
      <c r="F54" s="873">
        <f t="shared" si="0"/>
        <v>4181392</v>
      </c>
      <c r="G54" s="874">
        <f t="shared" si="1"/>
        <v>7.05940002927252</v>
      </c>
    </row>
    <row r="55" spans="1:7" ht="12">
      <c r="A55" s="865" t="s">
        <v>1154</v>
      </c>
      <c r="B55" s="866" t="s">
        <v>1155</v>
      </c>
      <c r="C55" s="867">
        <v>-595060</v>
      </c>
      <c r="D55" s="867">
        <v>0</v>
      </c>
      <c r="E55" s="867">
        <v>-4548507</v>
      </c>
      <c r="F55" s="868">
        <f t="shared" si="0"/>
        <v>-3953447</v>
      </c>
      <c r="G55" s="869">
        <f t="shared" si="1"/>
        <v>7.64377877861056</v>
      </c>
    </row>
    <row r="56" spans="1:7" s="875" customFormat="1" ht="24">
      <c r="A56" s="870" t="s">
        <v>1156</v>
      </c>
      <c r="B56" s="871" t="s">
        <v>1157</v>
      </c>
      <c r="C56" s="872">
        <v>-595060</v>
      </c>
      <c r="D56" s="872">
        <v>0</v>
      </c>
      <c r="E56" s="872">
        <v>-4548507</v>
      </c>
      <c r="F56" s="873">
        <f t="shared" si="0"/>
        <v>-3953447</v>
      </c>
      <c r="G56" s="874">
        <f t="shared" si="1"/>
        <v>7.64377877861056</v>
      </c>
    </row>
    <row r="57" spans="1:7" ht="24">
      <c r="A57" s="865" t="s">
        <v>1158</v>
      </c>
      <c r="B57" s="866" t="s">
        <v>1159</v>
      </c>
      <c r="C57" s="867">
        <v>140790</v>
      </c>
      <c r="D57" s="867">
        <v>0</v>
      </c>
      <c r="E57" s="867">
        <v>197140</v>
      </c>
      <c r="F57" s="868">
        <f t="shared" si="0"/>
        <v>56350</v>
      </c>
      <c r="G57" s="869">
        <f t="shared" si="1"/>
        <v>1.40024149442432</v>
      </c>
    </row>
    <row r="58" spans="1:7" s="875" customFormat="1" ht="24">
      <c r="A58" s="870" t="s">
        <v>1160</v>
      </c>
      <c r="B58" s="871" t="s">
        <v>1161</v>
      </c>
      <c r="C58" s="872">
        <v>140790</v>
      </c>
      <c r="D58" s="872">
        <v>0</v>
      </c>
      <c r="E58" s="872">
        <v>197140</v>
      </c>
      <c r="F58" s="873">
        <f t="shared" si="0"/>
        <v>56350</v>
      </c>
      <c r="G58" s="874">
        <f t="shared" si="1"/>
        <v>1.40024149442432</v>
      </c>
    </row>
    <row r="59" spans="1:7" s="875" customFormat="1" ht="24">
      <c r="A59" s="870" t="s">
        <v>1162</v>
      </c>
      <c r="B59" s="871" t="s">
        <v>1163</v>
      </c>
      <c r="C59" s="872">
        <v>235797</v>
      </c>
      <c r="D59" s="872">
        <v>0</v>
      </c>
      <c r="E59" s="872">
        <v>520092</v>
      </c>
      <c r="F59" s="873">
        <f t="shared" si="0"/>
        <v>284295</v>
      </c>
      <c r="G59" s="874">
        <f t="shared" si="1"/>
        <v>2.2056769170091224</v>
      </c>
    </row>
    <row r="60" spans="1:7" ht="24">
      <c r="A60" s="865" t="s">
        <v>1164</v>
      </c>
      <c r="B60" s="866" t="s">
        <v>1165</v>
      </c>
      <c r="C60" s="867">
        <v>2201273</v>
      </c>
      <c r="D60" s="867">
        <v>0</v>
      </c>
      <c r="E60" s="867">
        <v>349010</v>
      </c>
      <c r="F60" s="868">
        <f t="shared" si="0"/>
        <v>-1852263</v>
      </c>
      <c r="G60" s="869">
        <f t="shared" si="1"/>
        <v>0.15854916677758732</v>
      </c>
    </row>
    <row r="61" spans="1:7" s="875" customFormat="1" ht="24">
      <c r="A61" s="870" t="s">
        <v>1166</v>
      </c>
      <c r="B61" s="871" t="s">
        <v>1167</v>
      </c>
      <c r="C61" s="872">
        <v>2201273</v>
      </c>
      <c r="D61" s="872">
        <v>0</v>
      </c>
      <c r="E61" s="872">
        <v>349010</v>
      </c>
      <c r="F61" s="873">
        <f t="shared" si="0"/>
        <v>-1852263</v>
      </c>
      <c r="G61" s="874">
        <f t="shared" si="1"/>
        <v>0.15854916677758732</v>
      </c>
    </row>
    <row r="62" spans="1:7" s="875" customFormat="1" ht="12">
      <c r="A62" s="876" t="s">
        <v>1168</v>
      </c>
      <c r="B62" s="877" t="s">
        <v>1169</v>
      </c>
      <c r="C62" s="878">
        <v>6107109906</v>
      </c>
      <c r="D62" s="878">
        <v>0</v>
      </c>
      <c r="E62" s="878">
        <v>6188862823</v>
      </c>
      <c r="F62" s="879">
        <f t="shared" si="0"/>
        <v>81752917</v>
      </c>
      <c r="G62" s="880">
        <f t="shared" si="1"/>
        <v>1.0133865147767656</v>
      </c>
    </row>
    <row r="63" spans="1:7" ht="12">
      <c r="A63" s="865" t="s">
        <v>1170</v>
      </c>
      <c r="B63" s="866" t="s">
        <v>1171</v>
      </c>
      <c r="C63" s="867">
        <v>4851145722</v>
      </c>
      <c r="D63" s="867">
        <v>0</v>
      </c>
      <c r="E63" s="867">
        <v>4851145722</v>
      </c>
      <c r="F63" s="868">
        <f t="shared" si="0"/>
        <v>0</v>
      </c>
      <c r="G63" s="869">
        <f t="shared" si="1"/>
        <v>1</v>
      </c>
    </row>
    <row r="64" spans="1:7" ht="12">
      <c r="A64" s="865" t="s">
        <v>1172</v>
      </c>
      <c r="B64" s="866" t="s">
        <v>1173</v>
      </c>
      <c r="C64" s="867">
        <v>-197787193</v>
      </c>
      <c r="D64" s="867">
        <v>0</v>
      </c>
      <c r="E64" s="867">
        <v>-197787193</v>
      </c>
      <c r="F64" s="868">
        <f t="shared" si="0"/>
        <v>0</v>
      </c>
      <c r="G64" s="869">
        <f t="shared" si="1"/>
        <v>1</v>
      </c>
    </row>
    <row r="65" spans="1:7" ht="24">
      <c r="A65" s="865" t="s">
        <v>1174</v>
      </c>
      <c r="B65" s="866" t="s">
        <v>1175</v>
      </c>
      <c r="C65" s="867">
        <v>418412111</v>
      </c>
      <c r="D65" s="867">
        <v>0</v>
      </c>
      <c r="E65" s="867">
        <v>418412111</v>
      </c>
      <c r="F65" s="868">
        <f t="shared" si="0"/>
        <v>0</v>
      </c>
      <c r="G65" s="869">
        <f t="shared" si="1"/>
        <v>1</v>
      </c>
    </row>
    <row r="66" spans="1:7" ht="12">
      <c r="A66" s="865" t="s">
        <v>1176</v>
      </c>
      <c r="B66" s="866" t="s">
        <v>1177</v>
      </c>
      <c r="C66" s="867">
        <v>-1348170740</v>
      </c>
      <c r="D66" s="867">
        <v>0</v>
      </c>
      <c r="E66" s="867">
        <v>-1444888955</v>
      </c>
      <c r="F66" s="868">
        <f t="shared" si="0"/>
        <v>-96718215</v>
      </c>
      <c r="G66" s="869">
        <f t="shared" si="1"/>
        <v>1.0717403309020044</v>
      </c>
    </row>
    <row r="67" spans="1:7" ht="12">
      <c r="A67" s="865" t="s">
        <v>1178</v>
      </c>
      <c r="B67" s="866" t="s">
        <v>1179</v>
      </c>
      <c r="C67" s="867">
        <v>-96718215</v>
      </c>
      <c r="D67" s="867">
        <v>0</v>
      </c>
      <c r="E67" s="867">
        <v>34172169</v>
      </c>
      <c r="F67" s="868">
        <f t="shared" si="0"/>
        <v>130890384</v>
      </c>
      <c r="G67" s="869">
        <f t="shared" si="1"/>
        <v>-0.35331678732904653</v>
      </c>
    </row>
    <row r="68" spans="1:10" s="875" customFormat="1" ht="12">
      <c r="A68" s="870" t="s">
        <v>1180</v>
      </c>
      <c r="B68" s="871" t="s">
        <v>1181</v>
      </c>
      <c r="C68" s="872">
        <v>3626881685</v>
      </c>
      <c r="D68" s="872">
        <v>0</v>
      </c>
      <c r="E68" s="872">
        <v>3661053854</v>
      </c>
      <c r="F68" s="873">
        <f t="shared" si="0"/>
        <v>34172169</v>
      </c>
      <c r="G68" s="874">
        <f t="shared" si="1"/>
        <v>1.0094219144620373</v>
      </c>
      <c r="J68" s="1076"/>
    </row>
    <row r="69" spans="1:7" ht="24">
      <c r="A69" s="865" t="s">
        <v>1182</v>
      </c>
      <c r="B69" s="866" t="s">
        <v>1183</v>
      </c>
      <c r="C69" s="867">
        <v>1657181</v>
      </c>
      <c r="D69" s="867">
        <v>0</v>
      </c>
      <c r="E69" s="867">
        <v>5139866</v>
      </c>
      <c r="F69" s="868">
        <f aca="true" t="shared" si="2" ref="F69:F86">E69-C69</f>
        <v>3482685</v>
      </c>
      <c r="G69" s="869">
        <f aca="true" t="shared" si="3" ref="G69:G86">E69/C69</f>
        <v>3.1015718862333084</v>
      </c>
    </row>
    <row r="70" spans="1:7" ht="24">
      <c r="A70" s="865" t="s">
        <v>1184</v>
      </c>
      <c r="B70" s="866" t="s">
        <v>1185</v>
      </c>
      <c r="C70" s="867">
        <v>41000</v>
      </c>
      <c r="D70" s="867">
        <v>0</v>
      </c>
      <c r="E70" s="867">
        <v>0</v>
      </c>
      <c r="F70" s="868">
        <f t="shared" si="2"/>
        <v>-41000</v>
      </c>
      <c r="G70" s="869">
        <f t="shared" si="3"/>
        <v>0</v>
      </c>
    </row>
    <row r="71" spans="1:7" ht="24">
      <c r="A71" s="865" t="s">
        <v>1186</v>
      </c>
      <c r="B71" s="866" t="s">
        <v>1187</v>
      </c>
      <c r="C71" s="867">
        <v>35640</v>
      </c>
      <c r="D71" s="867">
        <v>0</v>
      </c>
      <c r="E71" s="867">
        <v>0</v>
      </c>
      <c r="F71" s="868">
        <f t="shared" si="2"/>
        <v>-35640</v>
      </c>
      <c r="G71" s="869">
        <f t="shared" si="3"/>
        <v>0</v>
      </c>
    </row>
    <row r="72" spans="1:10" s="875" customFormat="1" ht="24">
      <c r="A72" s="870" t="s">
        <v>1188</v>
      </c>
      <c r="B72" s="871" t="s">
        <v>1189</v>
      </c>
      <c r="C72" s="872">
        <v>1733821</v>
      </c>
      <c r="D72" s="872">
        <v>0</v>
      </c>
      <c r="E72" s="872">
        <v>5139866</v>
      </c>
      <c r="F72" s="873">
        <f t="shared" si="2"/>
        <v>3406045</v>
      </c>
      <c r="G72" s="874">
        <f t="shared" si="3"/>
        <v>2.9644732645411493</v>
      </c>
      <c r="J72" s="1075"/>
    </row>
    <row r="73" spans="1:7" ht="24">
      <c r="A73" s="865" t="s">
        <v>1190</v>
      </c>
      <c r="B73" s="866" t="s">
        <v>1191</v>
      </c>
      <c r="C73" s="867">
        <v>877964</v>
      </c>
      <c r="D73" s="867">
        <v>0</v>
      </c>
      <c r="E73" s="867">
        <v>502408</v>
      </c>
      <c r="F73" s="868">
        <f t="shared" si="2"/>
        <v>-375556</v>
      </c>
      <c r="G73" s="869">
        <f t="shared" si="3"/>
        <v>0.5722421420468266</v>
      </c>
    </row>
    <row r="74" spans="1:7" ht="24">
      <c r="A74" s="865" t="s">
        <v>1192</v>
      </c>
      <c r="B74" s="866" t="s">
        <v>1193</v>
      </c>
      <c r="C74" s="867">
        <v>30967170</v>
      </c>
      <c r="D74" s="867">
        <v>0</v>
      </c>
      <c r="E74" s="867">
        <v>0</v>
      </c>
      <c r="F74" s="868">
        <f t="shared" si="2"/>
        <v>-30967170</v>
      </c>
      <c r="G74" s="869">
        <f t="shared" si="3"/>
        <v>0</v>
      </c>
    </row>
    <row r="75" spans="1:7" ht="36">
      <c r="A75" s="865" t="s">
        <v>1194</v>
      </c>
      <c r="B75" s="866" t="s">
        <v>1195</v>
      </c>
      <c r="C75" s="867">
        <v>16505820</v>
      </c>
      <c r="D75" s="867">
        <v>0</v>
      </c>
      <c r="E75" s="867">
        <v>18612224</v>
      </c>
      <c r="F75" s="868">
        <f t="shared" si="2"/>
        <v>2106404</v>
      </c>
      <c r="G75" s="869">
        <f t="shared" si="3"/>
        <v>1.1276158348994476</v>
      </c>
    </row>
    <row r="76" spans="1:7" ht="36">
      <c r="A76" s="865" t="s">
        <v>1196</v>
      </c>
      <c r="B76" s="866" t="s">
        <v>1197</v>
      </c>
      <c r="C76" s="867">
        <v>16505820</v>
      </c>
      <c r="D76" s="867">
        <v>0</v>
      </c>
      <c r="E76" s="867">
        <v>18612224</v>
      </c>
      <c r="F76" s="868">
        <f t="shared" si="2"/>
        <v>2106404</v>
      </c>
      <c r="G76" s="869">
        <f t="shared" si="3"/>
        <v>1.1276158348994476</v>
      </c>
    </row>
    <row r="77" spans="1:7" s="875" customFormat="1" ht="24">
      <c r="A77" s="870" t="s">
        <v>1198</v>
      </c>
      <c r="B77" s="871" t="s">
        <v>1199</v>
      </c>
      <c r="C77" s="872">
        <v>48350954</v>
      </c>
      <c r="D77" s="872">
        <v>0</v>
      </c>
      <c r="E77" s="872">
        <v>19114632</v>
      </c>
      <c r="F77" s="873">
        <f t="shared" si="2"/>
        <v>-29236322</v>
      </c>
      <c r="G77" s="874">
        <f t="shared" si="3"/>
        <v>0.3953310207695178</v>
      </c>
    </row>
    <row r="78" spans="1:7" ht="12">
      <c r="A78" s="865" t="s">
        <v>1200</v>
      </c>
      <c r="B78" s="866" t="s">
        <v>1201</v>
      </c>
      <c r="C78" s="867">
        <v>16470429</v>
      </c>
      <c r="D78" s="867">
        <v>0</v>
      </c>
      <c r="E78" s="867">
        <v>17209553</v>
      </c>
      <c r="F78" s="868">
        <f t="shared" si="2"/>
        <v>739124</v>
      </c>
      <c r="G78" s="869">
        <f t="shared" si="3"/>
        <v>1.0448758195672985</v>
      </c>
    </row>
    <row r="79" spans="1:7" ht="24">
      <c r="A79" s="865" t="s">
        <v>1202</v>
      </c>
      <c r="B79" s="866" t="s">
        <v>1203</v>
      </c>
      <c r="C79" s="867">
        <v>3508982</v>
      </c>
      <c r="D79" s="867">
        <v>0</v>
      </c>
      <c r="E79" s="867">
        <v>384953</v>
      </c>
      <c r="F79" s="868">
        <f t="shared" si="2"/>
        <v>-3124029</v>
      </c>
      <c r="G79" s="869">
        <f t="shared" si="3"/>
        <v>0.10970503695943724</v>
      </c>
    </row>
    <row r="80" spans="1:7" ht="24">
      <c r="A80" s="865" t="s">
        <v>1204</v>
      </c>
      <c r="B80" s="866" t="s">
        <v>1205</v>
      </c>
      <c r="C80" s="867">
        <v>328967</v>
      </c>
      <c r="D80" s="867">
        <v>0</v>
      </c>
      <c r="E80" s="867">
        <v>498118</v>
      </c>
      <c r="F80" s="868">
        <f t="shared" si="2"/>
        <v>169151</v>
      </c>
      <c r="G80" s="869">
        <f t="shared" si="3"/>
        <v>1.5141883532390787</v>
      </c>
    </row>
    <row r="81" spans="1:7" s="875" customFormat="1" ht="24">
      <c r="A81" s="870" t="s">
        <v>1206</v>
      </c>
      <c r="B81" s="871" t="s">
        <v>1207</v>
      </c>
      <c r="C81" s="872">
        <v>20308378</v>
      </c>
      <c r="D81" s="872">
        <v>0</v>
      </c>
      <c r="E81" s="872">
        <v>18092624</v>
      </c>
      <c r="F81" s="873">
        <f t="shared" si="2"/>
        <v>-2215754</v>
      </c>
      <c r="G81" s="874">
        <f t="shared" si="3"/>
        <v>0.8908945854760041</v>
      </c>
    </row>
    <row r="82" spans="1:7" s="875" customFormat="1" ht="12">
      <c r="A82" s="870" t="s">
        <v>1208</v>
      </c>
      <c r="B82" s="871" t="s">
        <v>1209</v>
      </c>
      <c r="C82" s="872">
        <v>70393153</v>
      </c>
      <c r="D82" s="872">
        <v>0</v>
      </c>
      <c r="E82" s="872">
        <v>42347122</v>
      </c>
      <c r="F82" s="873">
        <f t="shared" si="2"/>
        <v>-28046031</v>
      </c>
      <c r="G82" s="874">
        <f t="shared" si="3"/>
        <v>0.6015801281127442</v>
      </c>
    </row>
    <row r="83" spans="1:7" ht="24">
      <c r="A83" s="865" t="s">
        <v>1210</v>
      </c>
      <c r="B83" s="866" t="s">
        <v>1211</v>
      </c>
      <c r="C83" s="867">
        <v>12740851</v>
      </c>
      <c r="D83" s="867">
        <v>0</v>
      </c>
      <c r="E83" s="867">
        <v>13949230</v>
      </c>
      <c r="F83" s="868">
        <f t="shared" si="2"/>
        <v>1208379</v>
      </c>
      <c r="G83" s="869">
        <f t="shared" si="3"/>
        <v>1.0948428798044967</v>
      </c>
    </row>
    <row r="84" spans="1:7" ht="12">
      <c r="A84" s="865" t="s">
        <v>1212</v>
      </c>
      <c r="B84" s="866" t="s">
        <v>1213</v>
      </c>
      <c r="C84" s="867">
        <v>2397094217</v>
      </c>
      <c r="D84" s="867">
        <v>0</v>
      </c>
      <c r="E84" s="867">
        <v>2471512617</v>
      </c>
      <c r="F84" s="868">
        <f t="shared" si="2"/>
        <v>74418400</v>
      </c>
      <c r="G84" s="869">
        <f t="shared" si="3"/>
        <v>1.0310452544886348</v>
      </c>
    </row>
    <row r="85" spans="1:7" ht="24">
      <c r="A85" s="870" t="s">
        <v>1214</v>
      </c>
      <c r="B85" s="871" t="s">
        <v>1215</v>
      </c>
      <c r="C85" s="872">
        <v>2409835068</v>
      </c>
      <c r="D85" s="872">
        <v>0</v>
      </c>
      <c r="E85" s="872">
        <v>2485461847</v>
      </c>
      <c r="F85" s="873">
        <f t="shared" si="2"/>
        <v>75626779</v>
      </c>
      <c r="G85" s="874">
        <f t="shared" si="3"/>
        <v>1.0313825539366746</v>
      </c>
    </row>
    <row r="86" spans="1:7" ht="12">
      <c r="A86" s="881" t="s">
        <v>1216</v>
      </c>
      <c r="B86" s="882" t="s">
        <v>1217</v>
      </c>
      <c r="C86" s="883">
        <v>6107109906</v>
      </c>
      <c r="D86" s="883">
        <v>0</v>
      </c>
      <c r="E86" s="883">
        <v>6188862823</v>
      </c>
      <c r="F86" s="884">
        <f t="shared" si="2"/>
        <v>81752917</v>
      </c>
      <c r="G86" s="885">
        <f t="shared" si="3"/>
        <v>1.0133865147767656</v>
      </c>
    </row>
  </sheetData>
  <sheetProtection/>
  <mergeCells count="1">
    <mergeCell ref="A1:E1"/>
  </mergeCells>
  <printOptions horizontalCentered="1"/>
  <pageMargins left="0.3937007874015748" right="0.4330708661417323" top="0.984251968503937" bottom="0.984251968503937" header="0.7874015748031497" footer="0.7874015748031497"/>
  <pageSetup fitToHeight="3" fitToWidth="1" horizontalDpi="300" verticalDpi="300" orientation="portrait" paperSize="9" scale="71" r:id="rId1"/>
  <headerFooter alignWithMargins="0">
    <oddHeader>&amp;LBátaszék Város Önkormányzata</oddHeader>
    <oddFooter>&amp;C&amp;P</oddFooter>
  </headerFooter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0"/>
  <sheetViews>
    <sheetView zoomScale="120" zoomScaleNormal="120" workbookViewId="0" topLeftCell="A1">
      <selection activeCell="L12" sqref="L12"/>
    </sheetView>
  </sheetViews>
  <sheetFormatPr defaultColWidth="9.00390625" defaultRowHeight="12.75"/>
  <cols>
    <col min="1" max="1" width="3.00390625" style="863" bestFit="1" customWidth="1"/>
    <col min="2" max="2" width="47.875" style="863" customWidth="1"/>
    <col min="3" max="3" width="14.875" style="863" bestFit="1" customWidth="1"/>
    <col min="4" max="4" width="18.875" style="863" bestFit="1" customWidth="1"/>
    <col min="5" max="5" width="15.50390625" style="863" bestFit="1" customWidth="1"/>
    <col min="6" max="16384" width="9.375" style="863" customWidth="1"/>
  </cols>
  <sheetData>
    <row r="1" spans="1:5" ht="12">
      <c r="A1" s="1053" t="s">
        <v>1258</v>
      </c>
      <c r="B1" s="1054"/>
      <c r="C1" s="1054"/>
      <c r="D1" s="1054"/>
      <c r="E1" s="1054"/>
    </row>
    <row r="2" spans="1:5" ht="12">
      <c r="A2" s="864" t="s">
        <v>823</v>
      </c>
      <c r="B2" s="864" t="s">
        <v>44</v>
      </c>
      <c r="C2" s="864" t="s">
        <v>1061</v>
      </c>
      <c r="D2" s="864" t="s">
        <v>1062</v>
      </c>
      <c r="E2" s="864" t="s">
        <v>1063</v>
      </c>
    </row>
    <row r="3" spans="1:5" ht="12">
      <c r="A3" s="864">
        <v>1</v>
      </c>
      <c r="B3" s="864">
        <v>2</v>
      </c>
      <c r="C3" s="864">
        <v>3</v>
      </c>
      <c r="D3" s="864">
        <v>4</v>
      </c>
      <c r="E3" s="864">
        <v>5</v>
      </c>
    </row>
    <row r="4" spans="1:5" ht="24">
      <c r="A4" s="865" t="s">
        <v>38</v>
      </c>
      <c r="B4" s="866" t="s">
        <v>1220</v>
      </c>
      <c r="C4" s="867">
        <v>313836261</v>
      </c>
      <c r="D4" s="867">
        <v>0</v>
      </c>
      <c r="E4" s="867">
        <v>358994650</v>
      </c>
    </row>
    <row r="5" spans="1:5" ht="24">
      <c r="A5" s="865" t="s">
        <v>42</v>
      </c>
      <c r="B5" s="866" t="s">
        <v>1221</v>
      </c>
      <c r="C5" s="867">
        <v>20236555</v>
      </c>
      <c r="D5" s="867">
        <v>0</v>
      </c>
      <c r="E5" s="867">
        <v>21713877</v>
      </c>
    </row>
    <row r="6" spans="1:5" ht="24">
      <c r="A6" s="865" t="s">
        <v>43</v>
      </c>
      <c r="B6" s="866" t="s">
        <v>1222</v>
      </c>
      <c r="C6" s="867">
        <v>8196686</v>
      </c>
      <c r="D6" s="867">
        <v>0</v>
      </c>
      <c r="E6" s="867">
        <v>7985561</v>
      </c>
    </row>
    <row r="7" spans="1:5" ht="24">
      <c r="A7" s="870" t="s">
        <v>863</v>
      </c>
      <c r="B7" s="871" t="s">
        <v>1223</v>
      </c>
      <c r="C7" s="872">
        <v>342269502</v>
      </c>
      <c r="D7" s="872">
        <v>0</v>
      </c>
      <c r="E7" s="872">
        <v>388694088</v>
      </c>
    </row>
    <row r="8" spans="1:5" ht="24">
      <c r="A8" s="865" t="s">
        <v>865</v>
      </c>
      <c r="B8" s="866" t="s">
        <v>1224</v>
      </c>
      <c r="C8" s="867">
        <v>633773620</v>
      </c>
      <c r="D8" s="867">
        <v>0</v>
      </c>
      <c r="E8" s="867">
        <v>719831986</v>
      </c>
    </row>
    <row r="9" spans="1:5" ht="24">
      <c r="A9" s="865" t="s">
        <v>848</v>
      </c>
      <c r="B9" s="866" t="s">
        <v>1225</v>
      </c>
      <c r="C9" s="867">
        <v>136734702</v>
      </c>
      <c r="D9" s="867">
        <v>0</v>
      </c>
      <c r="E9" s="867">
        <v>127787790</v>
      </c>
    </row>
    <row r="10" spans="1:5" ht="24">
      <c r="A10" s="865" t="s">
        <v>850</v>
      </c>
      <c r="B10" s="866" t="s">
        <v>1226</v>
      </c>
      <c r="C10" s="867">
        <v>41894969</v>
      </c>
      <c r="D10" s="867">
        <v>0</v>
      </c>
      <c r="E10" s="867">
        <v>128769014</v>
      </c>
    </row>
    <row r="11" spans="1:5" ht="24">
      <c r="A11" s="865" t="s">
        <v>852</v>
      </c>
      <c r="B11" s="866" t="s">
        <v>1227</v>
      </c>
      <c r="C11" s="867">
        <v>12471138</v>
      </c>
      <c r="D11" s="867">
        <v>0</v>
      </c>
      <c r="E11" s="867">
        <v>19882598</v>
      </c>
    </row>
    <row r="12" spans="1:5" ht="24">
      <c r="A12" s="870" t="s">
        <v>854</v>
      </c>
      <c r="B12" s="871" t="s">
        <v>1228</v>
      </c>
      <c r="C12" s="872">
        <v>824874429</v>
      </c>
      <c r="D12" s="872">
        <v>0</v>
      </c>
      <c r="E12" s="872">
        <v>996271388</v>
      </c>
    </row>
    <row r="13" spans="1:5" ht="24">
      <c r="A13" s="865" t="s">
        <v>867</v>
      </c>
      <c r="B13" s="866" t="s">
        <v>1229</v>
      </c>
      <c r="C13" s="867">
        <v>10414983</v>
      </c>
      <c r="D13" s="867">
        <v>0</v>
      </c>
      <c r="E13" s="867">
        <v>13408414</v>
      </c>
    </row>
    <row r="14" spans="1:5" ht="24">
      <c r="A14" s="865" t="s">
        <v>869</v>
      </c>
      <c r="B14" s="866" t="s">
        <v>1230</v>
      </c>
      <c r="C14" s="867">
        <v>116538121</v>
      </c>
      <c r="D14" s="867">
        <v>0</v>
      </c>
      <c r="E14" s="867">
        <v>117779349</v>
      </c>
    </row>
    <row r="15" spans="1:5" ht="24">
      <c r="A15" s="865" t="s">
        <v>1231</v>
      </c>
      <c r="B15" s="866" t="s">
        <v>1232</v>
      </c>
      <c r="C15" s="867">
        <v>5763302</v>
      </c>
      <c r="D15" s="867">
        <v>0</v>
      </c>
      <c r="E15" s="867">
        <v>7554475</v>
      </c>
    </row>
    <row r="16" spans="1:5" ht="24">
      <c r="A16" s="870" t="s">
        <v>1233</v>
      </c>
      <c r="B16" s="871" t="s">
        <v>1234</v>
      </c>
      <c r="C16" s="872">
        <v>132716406</v>
      </c>
      <c r="D16" s="872">
        <v>0</v>
      </c>
      <c r="E16" s="872">
        <v>138742238</v>
      </c>
    </row>
    <row r="17" spans="1:5" ht="24">
      <c r="A17" s="865" t="s">
        <v>1235</v>
      </c>
      <c r="B17" s="866" t="s">
        <v>1236</v>
      </c>
      <c r="C17" s="867">
        <v>123969118</v>
      </c>
      <c r="D17" s="867">
        <v>0</v>
      </c>
      <c r="E17" s="867">
        <v>139950245</v>
      </c>
    </row>
    <row r="18" spans="1:5" ht="24">
      <c r="A18" s="865" t="s">
        <v>871</v>
      </c>
      <c r="B18" s="866" t="s">
        <v>1237</v>
      </c>
      <c r="C18" s="867">
        <v>37256353</v>
      </c>
      <c r="D18" s="867">
        <v>0</v>
      </c>
      <c r="E18" s="867">
        <v>34304111</v>
      </c>
    </row>
    <row r="19" spans="1:5" ht="24">
      <c r="A19" s="865" t="s">
        <v>1238</v>
      </c>
      <c r="B19" s="866" t="s">
        <v>1239</v>
      </c>
      <c r="C19" s="867">
        <v>31012066</v>
      </c>
      <c r="D19" s="867">
        <v>0</v>
      </c>
      <c r="E19" s="867">
        <v>32104667</v>
      </c>
    </row>
    <row r="20" spans="1:5" ht="24">
      <c r="A20" s="870" t="s">
        <v>1073</v>
      </c>
      <c r="B20" s="871" t="s">
        <v>1240</v>
      </c>
      <c r="C20" s="872">
        <v>192237537</v>
      </c>
      <c r="D20" s="872">
        <v>0</v>
      </c>
      <c r="E20" s="872">
        <v>206359023</v>
      </c>
    </row>
    <row r="21" spans="1:5" ht="24">
      <c r="A21" s="870" t="s">
        <v>1241</v>
      </c>
      <c r="B21" s="871" t="s">
        <v>1242</v>
      </c>
      <c r="C21" s="872">
        <v>156228542</v>
      </c>
      <c r="D21" s="872">
        <v>0</v>
      </c>
      <c r="E21" s="872">
        <v>145607968</v>
      </c>
    </row>
    <row r="22" spans="1:5" ht="24">
      <c r="A22" s="870" t="s">
        <v>1243</v>
      </c>
      <c r="B22" s="871" t="s">
        <v>1244</v>
      </c>
      <c r="C22" s="872">
        <v>782678929</v>
      </c>
      <c r="D22" s="872">
        <v>0</v>
      </c>
      <c r="E22" s="872">
        <v>860078267</v>
      </c>
    </row>
    <row r="23" spans="1:5" ht="24">
      <c r="A23" s="870" t="s">
        <v>1245</v>
      </c>
      <c r="B23" s="871" t="s">
        <v>1246</v>
      </c>
      <c r="C23" s="872">
        <v>-96717483</v>
      </c>
      <c r="D23" s="872">
        <v>0</v>
      </c>
      <c r="E23" s="872">
        <v>34177980</v>
      </c>
    </row>
    <row r="24" spans="1:5" ht="24">
      <c r="A24" s="865" t="s">
        <v>1075</v>
      </c>
      <c r="B24" s="866" t="s">
        <v>1247</v>
      </c>
      <c r="C24" s="867">
        <v>413</v>
      </c>
      <c r="D24" s="867">
        <v>0</v>
      </c>
      <c r="E24" s="867">
        <v>134</v>
      </c>
    </row>
    <row r="25" spans="1:5" ht="24">
      <c r="A25" s="870" t="s">
        <v>1248</v>
      </c>
      <c r="B25" s="871" t="s">
        <v>1249</v>
      </c>
      <c r="C25" s="872">
        <v>413</v>
      </c>
      <c r="D25" s="872">
        <v>0</v>
      </c>
      <c r="E25" s="872">
        <v>134</v>
      </c>
    </row>
    <row r="26" spans="1:5" ht="24">
      <c r="A26" s="865" t="s">
        <v>877</v>
      </c>
      <c r="B26" s="866" t="s">
        <v>1250</v>
      </c>
      <c r="C26" s="867">
        <v>1145</v>
      </c>
      <c r="D26" s="867">
        <v>0</v>
      </c>
      <c r="E26" s="867">
        <v>0</v>
      </c>
    </row>
    <row r="27" spans="1:5" ht="24">
      <c r="A27" s="865" t="s">
        <v>1251</v>
      </c>
      <c r="B27" s="866" t="s">
        <v>1252</v>
      </c>
      <c r="C27" s="867">
        <v>0</v>
      </c>
      <c r="D27" s="867">
        <v>0</v>
      </c>
      <c r="E27" s="867">
        <v>5945</v>
      </c>
    </row>
    <row r="28" spans="1:5" ht="24">
      <c r="A28" s="870" t="s">
        <v>1253</v>
      </c>
      <c r="B28" s="871" t="s">
        <v>1254</v>
      </c>
      <c r="C28" s="872">
        <v>1145</v>
      </c>
      <c r="D28" s="872">
        <v>0</v>
      </c>
      <c r="E28" s="872">
        <v>5945</v>
      </c>
    </row>
    <row r="29" spans="1:5" ht="24">
      <c r="A29" s="870" t="s">
        <v>1079</v>
      </c>
      <c r="B29" s="871" t="s">
        <v>1255</v>
      </c>
      <c r="C29" s="872">
        <v>-732</v>
      </c>
      <c r="D29" s="872">
        <v>0</v>
      </c>
      <c r="E29" s="872">
        <v>-5811</v>
      </c>
    </row>
    <row r="30" spans="1:5" ht="24">
      <c r="A30" s="870" t="s">
        <v>1256</v>
      </c>
      <c r="B30" s="871" t="s">
        <v>1257</v>
      </c>
      <c r="C30" s="872">
        <v>-96718215</v>
      </c>
      <c r="D30" s="872">
        <v>0</v>
      </c>
      <c r="E30" s="872">
        <v>34172169</v>
      </c>
    </row>
  </sheetData>
  <sheetProtection/>
  <mergeCells count="1">
    <mergeCell ref="A1:E1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600" verticalDpi="600" orientation="portrait" paperSize="9" scale="95" r:id="rId1"/>
  <headerFooter alignWithMargins="0">
    <oddHeader>&amp;L&amp;"Times New Roman,Félkövér dőlt"Bátaszék Város Önkormányzat&amp;R&amp;"Times New Roman CE,Félkövér dőlt"7.2. tájékoztató tábla a ……/2018. (……)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1">
      <selection activeCell="G13" sqref="G13"/>
    </sheetView>
  </sheetViews>
  <sheetFormatPr defaultColWidth="12.00390625" defaultRowHeight="12.75"/>
  <cols>
    <col min="1" max="1" width="58.875" style="483" customWidth="1"/>
    <col min="2" max="2" width="6.875" style="483" customWidth="1"/>
    <col min="3" max="3" width="17.125" style="483" customWidth="1"/>
    <col min="4" max="4" width="19.125" style="483" customWidth="1"/>
    <col min="5" max="16384" width="12.00390625" style="483" customWidth="1"/>
  </cols>
  <sheetData>
    <row r="1" spans="1:4" ht="16.5" customHeight="1">
      <c r="A1" s="1060" t="str">
        <f>CONCATENATE("7.3. tájékoztató tábla ",Z_ALAPADATOK!A7," ",Z_ALAPADATOK!B7," ",Z_ALAPADATOK!C7," ",Z_ALAPADATOK!D7," ",Z_ALAPADATOK!E7," ",Z_ALAPADATOK!F7," ",Z_ALAPADATOK!G7," ",Z_ALAPADATOK!H7)</f>
        <v>7.3. tájékoztató tábla a … / 2020. ( … ) önkormányzati rendelethez</v>
      </c>
      <c r="B1" s="1060"/>
      <c r="C1" s="1060"/>
      <c r="D1" s="1060"/>
    </row>
    <row r="2" s="571" customFormat="1" ht="16.5" customHeight="1"/>
    <row r="3" spans="1:4" s="511" customFormat="1" ht="16.5" customHeight="1">
      <c r="A3" s="1061" t="s">
        <v>669</v>
      </c>
      <c r="B3" s="1061"/>
      <c r="C3" s="1061"/>
      <c r="D3" s="1061"/>
    </row>
    <row r="4" spans="1:4" s="511" customFormat="1" ht="16.5" customHeight="1">
      <c r="A4" s="1061" t="s">
        <v>672</v>
      </c>
      <c r="B4" s="1061"/>
      <c r="C4" s="1061"/>
      <c r="D4" s="1061"/>
    </row>
    <row r="5" spans="1:4" s="511" customFormat="1" ht="16.5" customHeight="1">
      <c r="A5" s="1055" t="str">
        <f>'Z_7.1.tájékoztató_t.'!A4</f>
        <v>01</v>
      </c>
      <c r="B5" s="1056"/>
      <c r="C5" s="1056"/>
      <c r="D5" s="1056"/>
    </row>
    <row r="6" ht="16.5" customHeight="1" thickBot="1"/>
    <row r="7" spans="1:4" ht="43.5" customHeight="1" thickBot="1">
      <c r="A7" s="484" t="s">
        <v>44</v>
      </c>
      <c r="B7" s="485" t="s">
        <v>594</v>
      </c>
      <c r="C7" s="486" t="s">
        <v>624</v>
      </c>
      <c r="D7" s="487" t="s">
        <v>625</v>
      </c>
    </row>
    <row r="8" spans="1:4" ht="16.5" thickBot="1">
      <c r="A8" s="488" t="s">
        <v>382</v>
      </c>
      <c r="B8" s="489" t="s">
        <v>383</v>
      </c>
      <c r="C8" s="489" t="s">
        <v>384</v>
      </c>
      <c r="D8" s="490" t="s">
        <v>386</v>
      </c>
    </row>
    <row r="9" spans="1:4" ht="15.75" customHeight="1">
      <c r="A9" s="491" t="s">
        <v>626</v>
      </c>
      <c r="B9" s="492" t="s">
        <v>6</v>
      </c>
      <c r="C9" s="493"/>
      <c r="D9" s="494"/>
    </row>
    <row r="10" spans="1:4" ht="15.75" customHeight="1">
      <c r="A10" s="491" t="s">
        <v>627</v>
      </c>
      <c r="B10" s="495" t="s">
        <v>7</v>
      </c>
      <c r="C10" s="496"/>
      <c r="D10" s="497"/>
    </row>
    <row r="11" spans="1:4" ht="15.75" customHeight="1">
      <c r="A11" s="491" t="s">
        <v>628</v>
      </c>
      <c r="B11" s="495" t="s">
        <v>8</v>
      </c>
      <c r="C11" s="496"/>
      <c r="D11" s="497"/>
    </row>
    <row r="12" spans="1:4" ht="15.75" customHeight="1" thickBot="1">
      <c r="A12" s="498" t="s">
        <v>629</v>
      </c>
      <c r="B12" s="499" t="s">
        <v>9</v>
      </c>
      <c r="C12" s="500"/>
      <c r="D12" s="501"/>
    </row>
    <row r="13" spans="1:4" ht="15.75" customHeight="1" thickBot="1">
      <c r="A13" s="502" t="s">
        <v>630</v>
      </c>
      <c r="B13" s="503" t="s">
        <v>10</v>
      </c>
      <c r="C13" s="657"/>
      <c r="D13" s="504">
        <f>+D14+D15+D16+D17</f>
        <v>0</v>
      </c>
    </row>
    <row r="14" spans="1:4" ht="15.75" customHeight="1">
      <c r="A14" s="505" t="s">
        <v>631</v>
      </c>
      <c r="B14" s="492" t="s">
        <v>11</v>
      </c>
      <c r="C14" s="493"/>
      <c r="D14" s="494"/>
    </row>
    <row r="15" spans="1:4" ht="15.75" customHeight="1">
      <c r="A15" s="491" t="s">
        <v>632</v>
      </c>
      <c r="B15" s="495" t="s">
        <v>12</v>
      </c>
      <c r="C15" s="496"/>
      <c r="D15" s="497"/>
    </row>
    <row r="16" spans="1:4" ht="15.75" customHeight="1">
      <c r="A16" s="491" t="s">
        <v>633</v>
      </c>
      <c r="B16" s="495" t="s">
        <v>13</v>
      </c>
      <c r="C16" s="496"/>
      <c r="D16" s="497"/>
    </row>
    <row r="17" spans="1:4" ht="15.75" customHeight="1" thickBot="1">
      <c r="A17" s="498" t="s">
        <v>634</v>
      </c>
      <c r="B17" s="499" t="s">
        <v>14</v>
      </c>
      <c r="C17" s="500"/>
      <c r="D17" s="501"/>
    </row>
    <row r="18" spans="1:4" ht="15.75" customHeight="1" thickBot="1">
      <c r="A18" s="502" t="s">
        <v>635</v>
      </c>
      <c r="B18" s="503" t="s">
        <v>15</v>
      </c>
      <c r="C18" s="657"/>
      <c r="D18" s="504">
        <f>+D19+D20+D21</f>
        <v>0</v>
      </c>
    </row>
    <row r="19" spans="1:4" ht="15.75" customHeight="1">
      <c r="A19" s="505" t="s">
        <v>636</v>
      </c>
      <c r="B19" s="492" t="s">
        <v>16</v>
      </c>
      <c r="C19" s="493"/>
      <c r="D19" s="494"/>
    </row>
    <row r="20" spans="1:4" ht="15.75" customHeight="1">
      <c r="A20" s="491" t="s">
        <v>637</v>
      </c>
      <c r="B20" s="495" t="s">
        <v>17</v>
      </c>
      <c r="C20" s="496"/>
      <c r="D20" s="497"/>
    </row>
    <row r="21" spans="1:4" ht="15.75" customHeight="1" thickBot="1">
      <c r="A21" s="498" t="s">
        <v>638</v>
      </c>
      <c r="B21" s="499" t="s">
        <v>18</v>
      </c>
      <c r="C21" s="500"/>
      <c r="D21" s="501"/>
    </row>
    <row r="22" spans="1:4" ht="15.75" customHeight="1" thickBot="1">
      <c r="A22" s="502" t="s">
        <v>639</v>
      </c>
      <c r="B22" s="503" t="s">
        <v>19</v>
      </c>
      <c r="C22" s="657"/>
      <c r="D22" s="504">
        <f>+D23+D24+D25</f>
        <v>0</v>
      </c>
    </row>
    <row r="23" spans="1:4" ht="15.75" customHeight="1">
      <c r="A23" s="505" t="s">
        <v>640</v>
      </c>
      <c r="B23" s="492" t="s">
        <v>20</v>
      </c>
      <c r="C23" s="493"/>
      <c r="D23" s="494"/>
    </row>
    <row r="24" spans="1:4" ht="15.75" customHeight="1">
      <c r="A24" s="491" t="s">
        <v>641</v>
      </c>
      <c r="B24" s="495" t="s">
        <v>21</v>
      </c>
      <c r="C24" s="496"/>
      <c r="D24" s="497"/>
    </row>
    <row r="25" spans="1:4" ht="15.75" customHeight="1">
      <c r="A25" s="491" t="s">
        <v>642</v>
      </c>
      <c r="B25" s="495" t="s">
        <v>22</v>
      </c>
      <c r="C25" s="496"/>
      <c r="D25" s="497"/>
    </row>
    <row r="26" spans="1:4" ht="15.75" customHeight="1">
      <c r="A26" s="491" t="s">
        <v>643</v>
      </c>
      <c r="B26" s="495" t="s">
        <v>23</v>
      </c>
      <c r="C26" s="496"/>
      <c r="D26" s="497"/>
    </row>
    <row r="27" spans="1:4" ht="15.75" customHeight="1">
      <c r="A27" s="491"/>
      <c r="B27" s="495" t="s">
        <v>24</v>
      </c>
      <c r="C27" s="496"/>
      <c r="D27" s="497"/>
    </row>
    <row r="28" spans="1:4" ht="15.75" customHeight="1">
      <c r="A28" s="491"/>
      <c r="B28" s="495" t="s">
        <v>25</v>
      </c>
      <c r="C28" s="496"/>
      <c r="D28" s="497"/>
    </row>
    <row r="29" spans="1:4" ht="15.75" customHeight="1">
      <c r="A29" s="491"/>
      <c r="B29" s="495" t="s">
        <v>26</v>
      </c>
      <c r="C29" s="496"/>
      <c r="D29" s="497"/>
    </row>
    <row r="30" spans="1:4" ht="15.75" customHeight="1">
      <c r="A30" s="491"/>
      <c r="B30" s="495" t="s">
        <v>27</v>
      </c>
      <c r="C30" s="496"/>
      <c r="D30" s="497"/>
    </row>
    <row r="31" spans="1:4" ht="15.75" customHeight="1">
      <c r="A31" s="491"/>
      <c r="B31" s="495" t="s">
        <v>28</v>
      </c>
      <c r="C31" s="496"/>
      <c r="D31" s="497"/>
    </row>
    <row r="32" spans="1:4" ht="15.75" customHeight="1">
      <c r="A32" s="491"/>
      <c r="B32" s="495" t="s">
        <v>29</v>
      </c>
      <c r="C32" s="496"/>
      <c r="D32" s="497"/>
    </row>
    <row r="33" spans="1:4" ht="15.75" customHeight="1">
      <c r="A33" s="491"/>
      <c r="B33" s="495" t="s">
        <v>30</v>
      </c>
      <c r="C33" s="496"/>
      <c r="D33" s="497"/>
    </row>
    <row r="34" spans="1:4" ht="15.75" customHeight="1">
      <c r="A34" s="491"/>
      <c r="B34" s="495" t="s">
        <v>31</v>
      </c>
      <c r="C34" s="496"/>
      <c r="D34" s="497"/>
    </row>
    <row r="35" spans="1:4" ht="15.75" customHeight="1">
      <c r="A35" s="491"/>
      <c r="B35" s="495" t="s">
        <v>32</v>
      </c>
      <c r="C35" s="496"/>
      <c r="D35" s="497"/>
    </row>
    <row r="36" spans="1:4" ht="15.75" customHeight="1">
      <c r="A36" s="491"/>
      <c r="B36" s="495" t="s">
        <v>33</v>
      </c>
      <c r="C36" s="496"/>
      <c r="D36" s="497"/>
    </row>
    <row r="37" spans="1:4" ht="15.75" customHeight="1">
      <c r="A37" s="491"/>
      <c r="B37" s="495" t="s">
        <v>589</v>
      </c>
      <c r="C37" s="496"/>
      <c r="D37" s="497"/>
    </row>
    <row r="38" spans="1:4" ht="15.75" customHeight="1">
      <c r="A38" s="491"/>
      <c r="B38" s="495" t="s">
        <v>590</v>
      </c>
      <c r="C38" s="496"/>
      <c r="D38" s="497"/>
    </row>
    <row r="39" spans="1:4" ht="15.75" customHeight="1">
      <c r="A39" s="491"/>
      <c r="B39" s="495" t="s">
        <v>591</v>
      </c>
      <c r="C39" s="496"/>
      <c r="D39" s="497"/>
    </row>
    <row r="40" spans="1:4" ht="15.75" customHeight="1">
      <c r="A40" s="491"/>
      <c r="B40" s="495" t="s">
        <v>592</v>
      </c>
      <c r="C40" s="496"/>
      <c r="D40" s="497"/>
    </row>
    <row r="41" spans="1:4" ht="15.75" customHeight="1" thickBot="1">
      <c r="A41" s="498"/>
      <c r="B41" s="499" t="s">
        <v>593</v>
      </c>
      <c r="C41" s="500"/>
      <c r="D41" s="501"/>
    </row>
    <row r="42" spans="1:6" ht="15.75" customHeight="1" thickBot="1">
      <c r="A42" s="1057" t="s">
        <v>644</v>
      </c>
      <c r="B42" s="1058"/>
      <c r="C42" s="506"/>
      <c r="D42" s="504">
        <f>+D9+D10+D11+D12+D13+D18+D22+D26+D27+D28+D29+D30+D31+D32+D33+D34+D35+D36+D37+D38+D39+D40+D41</f>
        <v>0</v>
      </c>
      <c r="F42" s="507"/>
    </row>
    <row r="43" ht="15.75">
      <c r="A43" s="508" t="s">
        <v>645</v>
      </c>
    </row>
    <row r="44" spans="1:4" ht="15.75">
      <c r="A44" s="509"/>
      <c r="B44" s="509"/>
      <c r="C44" s="1059"/>
      <c r="D44" s="1059"/>
    </row>
    <row r="45" spans="1:2" ht="15.75">
      <c r="A45" s="510"/>
      <c r="B45" s="510"/>
    </row>
    <row r="46" spans="1:3" ht="15.75">
      <c r="A46" s="510"/>
      <c r="B46" s="510"/>
      <c r="C46" s="510"/>
    </row>
  </sheetData>
  <sheetProtection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E14" sqref="E14"/>
    </sheetView>
  </sheetViews>
  <sheetFormatPr defaultColWidth="9.00390625" defaultRowHeight="12.75"/>
  <cols>
    <col min="1" max="1" width="9.375" style="79" customWidth="1"/>
    <col min="2" max="2" width="51.875" style="79" customWidth="1"/>
    <col min="3" max="3" width="25.00390625" style="79" customWidth="1"/>
    <col min="4" max="4" width="22.875" style="79" customWidth="1"/>
    <col min="5" max="5" width="25.00390625" style="79" customWidth="1"/>
    <col min="6" max="6" width="5.50390625" style="79" customWidth="1"/>
    <col min="7" max="16384" width="9.375" style="79" customWidth="1"/>
  </cols>
  <sheetData>
    <row r="1" spans="1:5" ht="12.75">
      <c r="A1" s="575"/>
      <c r="B1" s="575"/>
      <c r="C1" s="575"/>
      <c r="D1" s="575"/>
      <c r="E1" s="575"/>
    </row>
    <row r="2" spans="1:5" ht="15.75">
      <c r="A2" s="896" t="str">
        <f>CONCATENATE(PROPER(Z_ALAPADATOK!A3)," tulajdonában álló gazdálkodó szervezetek működéséből származó")</f>
        <v>Bátaszék Város Önkormányzata tulajdonában álló gazdálkodó szervezetek működéséből származó</v>
      </c>
      <c r="B2" s="896"/>
      <c r="C2" s="896"/>
      <c r="D2" s="896"/>
      <c r="E2" s="896"/>
    </row>
    <row r="3" spans="1:6" ht="15.75">
      <c r="A3" s="1065" t="str">
        <f>CONCATENATE("kötelezettségek és részesedések alakulása ",Z_ALAPADATOK!B1,". évben")</f>
        <v>kötelezettségek és részesedések alakulása 2019. évben</v>
      </c>
      <c r="B3" s="896"/>
      <c r="C3" s="896"/>
      <c r="D3" s="896"/>
      <c r="E3" s="896"/>
      <c r="F3" s="1062" t="str">
        <f>CONCATENATE("8. tájékoztató tábla ",Z_ALAPADATOK!A7," ",Z_ALAPADATOK!B7," ",Z_ALAPADATOK!C7," ",Z_ALAPADATOK!D7," ",Z_ALAPADATOK!E7," ",Z_ALAPADATOK!F7," ",Z_ALAPADATOK!G7," ",Z_ALAPADATOK!H7)</f>
        <v>8. tájékoztató tábla a … / 2020. ( … ) önkormányzati rendelethez</v>
      </c>
    </row>
    <row r="4" spans="1:6" ht="16.5" thickBot="1">
      <c r="A4" s="576"/>
      <c r="B4" s="575"/>
      <c r="C4" s="575"/>
      <c r="D4" s="575"/>
      <c r="E4" s="575"/>
      <c r="F4" s="1062"/>
    </row>
    <row r="5" spans="1:6" ht="79.5" thickBot="1">
      <c r="A5" s="577" t="s">
        <v>594</v>
      </c>
      <c r="B5" s="578" t="s">
        <v>646</v>
      </c>
      <c r="C5" s="578" t="s">
        <v>647</v>
      </c>
      <c r="D5" s="578" t="s">
        <v>648</v>
      </c>
      <c r="E5" s="579" t="s">
        <v>649</v>
      </c>
      <c r="F5" s="1062"/>
    </row>
    <row r="6" spans="1:6" ht="15.75">
      <c r="A6" s="572" t="s">
        <v>6</v>
      </c>
      <c r="B6" s="513" t="s">
        <v>1260</v>
      </c>
      <c r="C6" s="514">
        <v>1</v>
      </c>
      <c r="D6" s="515">
        <v>3000000</v>
      </c>
      <c r="E6" s="516">
        <v>3000000</v>
      </c>
      <c r="F6" s="1062"/>
    </row>
    <row r="7" spans="1:6" ht="15.75">
      <c r="A7" s="573" t="s">
        <v>7</v>
      </c>
      <c r="B7" s="517" t="s">
        <v>1261</v>
      </c>
      <c r="C7" s="518">
        <v>1</v>
      </c>
      <c r="D7" s="519">
        <v>3000000</v>
      </c>
      <c r="E7" s="520">
        <v>3000000</v>
      </c>
      <c r="F7" s="1062"/>
    </row>
    <row r="8" spans="1:6" ht="15.75">
      <c r="A8" s="573" t="s">
        <v>8</v>
      </c>
      <c r="B8" s="517" t="s">
        <v>1262</v>
      </c>
      <c r="C8" s="518">
        <v>0.25</v>
      </c>
      <c r="D8" s="519">
        <v>750000</v>
      </c>
      <c r="E8" s="520">
        <v>750000</v>
      </c>
      <c r="F8" s="1062"/>
    </row>
    <row r="9" spans="1:6" ht="15.75">
      <c r="A9" s="573" t="s">
        <v>9</v>
      </c>
      <c r="B9" s="517" t="s">
        <v>1263</v>
      </c>
      <c r="C9" s="518">
        <v>0.07</v>
      </c>
      <c r="D9" s="519">
        <v>17790000</v>
      </c>
      <c r="E9" s="520">
        <v>17790000</v>
      </c>
      <c r="F9" s="1062"/>
    </row>
    <row r="10" spans="1:6" ht="15.75">
      <c r="A10" s="573" t="s">
        <v>10</v>
      </c>
      <c r="B10" s="517"/>
      <c r="C10" s="518"/>
      <c r="D10" s="519"/>
      <c r="E10" s="520"/>
      <c r="F10" s="1062"/>
    </row>
    <row r="11" spans="1:6" ht="15.75">
      <c r="A11" s="573" t="s">
        <v>11</v>
      </c>
      <c r="B11" s="517"/>
      <c r="C11" s="518"/>
      <c r="D11" s="519"/>
      <c r="E11" s="520"/>
      <c r="F11" s="1062"/>
    </row>
    <row r="12" spans="1:6" ht="15.75">
      <c r="A12" s="573" t="s">
        <v>12</v>
      </c>
      <c r="B12" s="517"/>
      <c r="C12" s="518"/>
      <c r="D12" s="519"/>
      <c r="E12" s="520"/>
      <c r="F12" s="1062"/>
    </row>
    <row r="13" spans="1:6" ht="15.75">
      <c r="A13" s="573" t="s">
        <v>13</v>
      </c>
      <c r="B13" s="517"/>
      <c r="C13" s="518"/>
      <c r="D13" s="519"/>
      <c r="E13" s="520"/>
      <c r="F13" s="1062"/>
    </row>
    <row r="14" spans="1:6" ht="15.75">
      <c r="A14" s="573" t="s">
        <v>14</v>
      </c>
      <c r="B14" s="517"/>
      <c r="C14" s="518"/>
      <c r="D14" s="519"/>
      <c r="E14" s="520"/>
      <c r="F14" s="1062"/>
    </row>
    <row r="15" spans="1:6" ht="15.75">
      <c r="A15" s="573" t="s">
        <v>15</v>
      </c>
      <c r="B15" s="517"/>
      <c r="C15" s="518"/>
      <c r="D15" s="519"/>
      <c r="E15" s="520"/>
      <c r="F15" s="1062"/>
    </row>
    <row r="16" spans="1:6" ht="15.75">
      <c r="A16" s="573" t="s">
        <v>16</v>
      </c>
      <c r="B16" s="517"/>
      <c r="C16" s="518"/>
      <c r="D16" s="519"/>
      <c r="E16" s="520"/>
      <c r="F16" s="1062"/>
    </row>
    <row r="17" spans="1:6" ht="15.75">
      <c r="A17" s="573" t="s">
        <v>17</v>
      </c>
      <c r="B17" s="517"/>
      <c r="C17" s="518"/>
      <c r="D17" s="519"/>
      <c r="E17" s="520"/>
      <c r="F17" s="1062"/>
    </row>
    <row r="18" spans="1:6" ht="15.75">
      <c r="A18" s="573" t="s">
        <v>18</v>
      </c>
      <c r="B18" s="517"/>
      <c r="C18" s="518"/>
      <c r="D18" s="519"/>
      <c r="E18" s="520"/>
      <c r="F18" s="1062"/>
    </row>
    <row r="19" spans="1:6" ht="15.75">
      <c r="A19" s="573" t="s">
        <v>19</v>
      </c>
      <c r="B19" s="517"/>
      <c r="C19" s="518"/>
      <c r="D19" s="519"/>
      <c r="E19" s="520"/>
      <c r="F19" s="1062"/>
    </row>
    <row r="20" spans="1:6" ht="15.75">
      <c r="A20" s="573" t="s">
        <v>20</v>
      </c>
      <c r="B20" s="517"/>
      <c r="C20" s="518"/>
      <c r="D20" s="519"/>
      <c r="E20" s="520"/>
      <c r="F20" s="1062"/>
    </row>
    <row r="21" spans="1:6" ht="15.75">
      <c r="A21" s="573" t="s">
        <v>21</v>
      </c>
      <c r="B21" s="517"/>
      <c r="C21" s="518"/>
      <c r="D21" s="519"/>
      <c r="E21" s="520"/>
      <c r="F21" s="1062"/>
    </row>
    <row r="22" spans="1:6" ht="16.5" thickBot="1">
      <c r="A22" s="574" t="s">
        <v>22</v>
      </c>
      <c r="B22" s="521"/>
      <c r="C22" s="522"/>
      <c r="D22" s="523"/>
      <c r="E22" s="524"/>
      <c r="F22" s="1062"/>
    </row>
    <row r="23" spans="1:6" ht="16.5" thickBot="1">
      <c r="A23" s="1063" t="s">
        <v>650</v>
      </c>
      <c r="B23" s="1064"/>
      <c r="C23" s="525"/>
      <c r="D23" s="526">
        <f>IF(SUM(D6:D22)=0,"",SUM(D6:D22))</f>
        <v>24540000</v>
      </c>
      <c r="E23" s="527">
        <f>IF(SUM(E6:E22)=0,"",SUM(E6:E22))</f>
        <v>24540000</v>
      </c>
      <c r="F23" s="1062"/>
    </row>
    <row r="24" ht="15.75">
      <c r="A24" s="512"/>
    </row>
  </sheetData>
  <sheetProtection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D15"/>
  <sheetViews>
    <sheetView zoomScale="120" zoomScaleNormal="120" workbookViewId="0" topLeftCell="A1">
      <selection activeCell="O13" sqref="O13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4" width="11.875" style="31" bestFit="1" customWidth="1"/>
    <col min="5" max="16384" width="9.375" style="31" customWidth="1"/>
  </cols>
  <sheetData>
    <row r="2" spans="1:3" ht="15">
      <c r="A2" s="1049" t="str">
        <f>CONCATENATE("9. tájékoztató tábla ",Z_ALAPADATOK!A7," ",Z_ALAPADATOK!B7," ",Z_ALAPADATOK!C7," ",Z_ALAPADATOK!D7," ",Z_ALAPADATOK!E7," ",Z_ALAPADATOK!F7," ",Z_ALAPADATOK!G7," ",Z_ALAPADATOK!H7)</f>
        <v>9. tájékoztató tábla a … / 2020. ( … ) önkormányzati rendelethez</v>
      </c>
      <c r="B2" s="1067"/>
      <c r="C2" s="1067"/>
    </row>
    <row r="3" spans="1:3" ht="14.25">
      <c r="A3" s="528"/>
      <c r="B3" s="528"/>
      <c r="C3" s="528"/>
    </row>
    <row r="4" spans="1:3" ht="33.75" customHeight="1">
      <c r="A4" s="1066" t="s">
        <v>651</v>
      </c>
      <c r="B4" s="1066"/>
      <c r="C4" s="1066"/>
    </row>
    <row r="5" ht="13.5" thickBot="1">
      <c r="C5" s="529"/>
    </row>
    <row r="6" spans="1:3" s="533" customFormat="1" ht="43.5" customHeight="1" thickBot="1">
      <c r="A6" s="530" t="s">
        <v>4</v>
      </c>
      <c r="B6" s="531" t="s">
        <v>44</v>
      </c>
      <c r="C6" s="532" t="s">
        <v>652</v>
      </c>
    </row>
    <row r="7" spans="1:3" ht="28.5" customHeight="1">
      <c r="A7" s="534" t="s">
        <v>6</v>
      </c>
      <c r="B7" s="535" t="str">
        <f>CONCATENATE("Pénzkészlet ",Z_ALAPADATOK!B1,". január 1-jén
Ebből:")</f>
        <v>Pénzkészlet 2019. január 1-jén
Ebből:</v>
      </c>
      <c r="C7" s="606">
        <v>843683466</v>
      </c>
    </row>
    <row r="8" spans="1:3" ht="18" customHeight="1">
      <c r="A8" s="536" t="s">
        <v>7</v>
      </c>
      <c r="B8" s="537" t="s">
        <v>653</v>
      </c>
      <c r="C8" s="580">
        <v>842969508</v>
      </c>
    </row>
    <row r="9" spans="1:3" ht="18" customHeight="1">
      <c r="A9" s="536" t="s">
        <v>8</v>
      </c>
      <c r="B9" s="537" t="s">
        <v>654</v>
      </c>
      <c r="C9" s="580">
        <v>713958</v>
      </c>
    </row>
    <row r="10" spans="1:3" ht="18" customHeight="1">
      <c r="A10" s="536" t="s">
        <v>9</v>
      </c>
      <c r="B10" s="538" t="s">
        <v>655</v>
      </c>
      <c r="C10" s="580">
        <v>1381277736</v>
      </c>
    </row>
    <row r="11" spans="1:3" ht="18" customHeight="1">
      <c r="A11" s="539" t="s">
        <v>10</v>
      </c>
      <c r="B11" s="540" t="s">
        <v>656</v>
      </c>
      <c r="C11" s="581">
        <v>1748987435</v>
      </c>
    </row>
    <row r="12" spans="1:3" ht="18" customHeight="1" thickBot="1">
      <c r="A12" s="541" t="s">
        <v>11</v>
      </c>
      <c r="B12" s="542" t="s">
        <v>657</v>
      </c>
      <c r="C12" s="582">
        <v>-145700</v>
      </c>
    </row>
    <row r="13" spans="1:4" ht="25.5" customHeight="1">
      <c r="A13" s="543" t="s">
        <v>12</v>
      </c>
      <c r="B13" s="544" t="str">
        <f>CONCATENATE("Pénzkészlet ",Z_ALAPADATOK!B1,". december 31-én
Ebből:")</f>
        <v>Pénzkészlet 2019. december 31-én
Ebből:</v>
      </c>
      <c r="C13" s="583">
        <v>475828067</v>
      </c>
      <c r="D13" s="750"/>
    </row>
    <row r="14" spans="1:3" ht="18" customHeight="1">
      <c r="A14" s="536" t="s">
        <v>13</v>
      </c>
      <c r="B14" s="537" t="s">
        <v>653</v>
      </c>
      <c r="C14" s="580">
        <v>475338044</v>
      </c>
    </row>
    <row r="15" spans="1:3" ht="18" customHeight="1" thickBot="1">
      <c r="A15" s="541" t="s">
        <v>14</v>
      </c>
      <c r="B15" s="545" t="s">
        <v>654</v>
      </c>
      <c r="C15" s="582">
        <v>490023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5" t="s">
        <v>509</v>
      </c>
      <c r="B1" s="79"/>
    </row>
    <row r="2" spans="1:2" ht="12.75">
      <c r="A2" s="79"/>
      <c r="B2" s="79"/>
    </row>
    <row r="3" spans="1:2" ht="12.75">
      <c r="A3" s="277"/>
      <c r="B3" s="277"/>
    </row>
    <row r="4" spans="1:2" ht="15.75">
      <c r="A4" s="81"/>
      <c r="B4" s="281"/>
    </row>
    <row r="5" spans="1:2" ht="15.75">
      <c r="A5" s="81"/>
      <c r="B5" s="281"/>
    </row>
    <row r="6" spans="1:2" s="66" customFormat="1" ht="15.75">
      <c r="A6" s="81" t="str">
        <f>CONCATENATE(Z_ALAPADATOK!B1,". évi eredeti előirányzat BEVÉTELEK")</f>
        <v>2019. évi eredeti előirányzat BEVÉTELEK</v>
      </c>
      <c r="B6" s="277"/>
    </row>
    <row r="7" spans="1:2" s="66" customFormat="1" ht="12.75">
      <c r="A7" s="277"/>
      <c r="B7" s="277"/>
    </row>
    <row r="8" spans="1:2" s="66" customFormat="1" ht="12.75">
      <c r="A8" s="277"/>
      <c r="B8" s="277"/>
    </row>
    <row r="9" spans="1:2" ht="12.75">
      <c r="A9" s="277" t="s">
        <v>452</v>
      </c>
      <c r="B9" s="277" t="s">
        <v>421</v>
      </c>
    </row>
    <row r="10" spans="1:2" ht="12.75">
      <c r="A10" s="277" t="s">
        <v>450</v>
      </c>
      <c r="B10" s="277" t="s">
        <v>427</v>
      </c>
    </row>
    <row r="11" spans="1:2" ht="12.75">
      <c r="A11" s="277" t="s">
        <v>451</v>
      </c>
      <c r="B11" s="277" t="s">
        <v>428</v>
      </c>
    </row>
    <row r="12" spans="1:2" ht="12.75">
      <c r="A12" s="277"/>
      <c r="B12" s="277"/>
    </row>
    <row r="13" spans="1:2" ht="15.75">
      <c r="A13" s="81" t="str">
        <f>+CONCATENATE(LEFT(A6,4),". évi módosított előirányzat BEVÉTELEK")</f>
        <v>2019. évi módosított előirányzat BEVÉTELEK</v>
      </c>
      <c r="B13" s="281"/>
    </row>
    <row r="14" spans="1:2" ht="12.75">
      <c r="A14" s="277"/>
      <c r="B14" s="277"/>
    </row>
    <row r="15" spans="1:2" s="66" customFormat="1" ht="12.75">
      <c r="A15" s="277" t="s">
        <v>453</v>
      </c>
      <c r="B15" s="277" t="s">
        <v>422</v>
      </c>
    </row>
    <row r="16" spans="1:2" ht="12.75">
      <c r="A16" s="277" t="s">
        <v>454</v>
      </c>
      <c r="B16" s="277" t="s">
        <v>429</v>
      </c>
    </row>
    <row r="17" spans="1:2" ht="12.75">
      <c r="A17" s="277" t="s">
        <v>455</v>
      </c>
      <c r="B17" s="277" t="s">
        <v>430</v>
      </c>
    </row>
    <row r="18" spans="1:2" ht="12.75">
      <c r="A18" s="277"/>
      <c r="B18" s="277"/>
    </row>
    <row r="19" spans="1:2" ht="14.25">
      <c r="A19" s="284" t="str">
        <f>+CONCATENATE(LEFT(A6,4),".évi teljesített BEVÉTELEK")</f>
        <v>2019.évi teljesített BEVÉTELEK</v>
      </c>
      <c r="B19" s="281"/>
    </row>
    <row r="20" spans="1:2" ht="12.75">
      <c r="A20" s="277"/>
      <c r="B20" s="277"/>
    </row>
    <row r="21" spans="1:2" ht="12.75">
      <c r="A21" s="277" t="s">
        <v>456</v>
      </c>
      <c r="B21" s="277" t="s">
        <v>423</v>
      </c>
    </row>
    <row r="22" spans="1:2" ht="12.75">
      <c r="A22" s="277" t="s">
        <v>457</v>
      </c>
      <c r="B22" s="277" t="s">
        <v>431</v>
      </c>
    </row>
    <row r="23" spans="1:2" ht="12.75">
      <c r="A23" s="277" t="s">
        <v>458</v>
      </c>
      <c r="B23" s="277" t="s">
        <v>432</v>
      </c>
    </row>
    <row r="24" spans="1:2" ht="12.75">
      <c r="A24" s="277"/>
      <c r="B24" s="277"/>
    </row>
    <row r="25" spans="1:2" ht="15.75">
      <c r="A25" s="81" t="str">
        <f>+CONCATENATE(LEFT(A6,4),". évi eredeti előirányzat KIADÁSOK")</f>
        <v>2019. évi eredeti előirányzat KIADÁSOK</v>
      </c>
      <c r="B25" s="281"/>
    </row>
    <row r="26" spans="1:2" ht="12.75">
      <c r="A26" s="277"/>
      <c r="B26" s="277"/>
    </row>
    <row r="27" spans="1:2" ht="12.75">
      <c r="A27" s="277" t="s">
        <v>459</v>
      </c>
      <c r="B27" s="277" t="s">
        <v>424</v>
      </c>
    </row>
    <row r="28" spans="1:2" ht="12.75">
      <c r="A28" s="277" t="s">
        <v>460</v>
      </c>
      <c r="B28" s="277" t="s">
        <v>433</v>
      </c>
    </row>
    <row r="29" spans="1:2" ht="12.75">
      <c r="A29" s="277" t="s">
        <v>461</v>
      </c>
      <c r="B29" s="277" t="s">
        <v>434</v>
      </c>
    </row>
    <row r="30" spans="1:2" ht="12.75">
      <c r="A30" s="277"/>
      <c r="B30" s="277"/>
    </row>
    <row r="31" spans="1:2" ht="15.75">
      <c r="A31" s="81" t="str">
        <f>+CONCATENATE(LEFT(A6,4),". évi módosított előirányzat KIADÁSOK")</f>
        <v>2019. évi módosított előirányzat KIADÁSOK</v>
      </c>
      <c r="B31" s="281"/>
    </row>
    <row r="32" spans="1:2" ht="12.75">
      <c r="A32" s="277"/>
      <c r="B32" s="277"/>
    </row>
    <row r="33" spans="1:2" ht="12.75">
      <c r="A33" s="277" t="s">
        <v>462</v>
      </c>
      <c r="B33" s="277" t="s">
        <v>425</v>
      </c>
    </row>
    <row r="34" spans="1:2" ht="12.75">
      <c r="A34" s="277" t="s">
        <v>463</v>
      </c>
      <c r="B34" s="277" t="s">
        <v>435</v>
      </c>
    </row>
    <row r="35" spans="1:2" ht="12.75">
      <c r="A35" s="277" t="s">
        <v>464</v>
      </c>
      <c r="B35" s="277" t="s">
        <v>436</v>
      </c>
    </row>
    <row r="36" spans="1:2" ht="12.75">
      <c r="A36" s="277"/>
      <c r="B36" s="277"/>
    </row>
    <row r="37" spans="1:2" ht="15.75">
      <c r="A37" s="283" t="str">
        <f>+CONCATENATE(LEFT(A6,4),".évi teljesített KIADÁSOK")</f>
        <v>2019.évi teljesített KIADÁSOK</v>
      </c>
      <c r="B37" s="281"/>
    </row>
    <row r="38" spans="1:2" ht="12.75">
      <c r="A38" s="277"/>
      <c r="B38" s="277"/>
    </row>
    <row r="39" spans="1:2" ht="12.75">
      <c r="A39" s="277" t="s">
        <v>465</v>
      </c>
      <c r="B39" s="277" t="s">
        <v>426</v>
      </c>
    </row>
    <row r="40" spans="1:2" ht="12.75">
      <c r="A40" s="277" t="s">
        <v>466</v>
      </c>
      <c r="B40" s="277" t="s">
        <v>437</v>
      </c>
    </row>
    <row r="41" spans="1:2" ht="12.75">
      <c r="A41" s="277" t="s">
        <v>467</v>
      </c>
      <c r="B41" s="277" t="s">
        <v>438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8.125" style="0" customWidth="1"/>
    <col min="2" max="2" width="40.375" style="0" bestFit="1" customWidth="1"/>
    <col min="3" max="3" width="15.625" style="0" bestFit="1" customWidth="1"/>
    <col min="4" max="4" width="25.00390625" style="0" bestFit="1" customWidth="1"/>
    <col min="5" max="5" width="19.00390625" style="0" bestFit="1" customWidth="1"/>
    <col min="6" max="6" width="20.00390625" style="0" customWidth="1"/>
    <col min="7" max="7" width="20.50390625" style="0" bestFit="1" customWidth="1"/>
    <col min="8" max="8" width="22.50390625" style="0" customWidth="1"/>
    <col min="9" max="9" width="21.50390625" style="0" bestFit="1" customWidth="1"/>
  </cols>
  <sheetData>
    <row r="1" spans="1:9" ht="22.5" customHeight="1">
      <c r="A1" s="1068" t="s">
        <v>1295</v>
      </c>
      <c r="B1" s="1069"/>
      <c r="C1" s="1069"/>
      <c r="D1" s="1069"/>
      <c r="E1" s="1069"/>
      <c r="F1" s="1069"/>
      <c r="G1" s="1069"/>
      <c r="H1" s="1069"/>
      <c r="I1" s="1069"/>
    </row>
    <row r="2" spans="1:9" ht="60">
      <c r="A2" s="749" t="s">
        <v>823</v>
      </c>
      <c r="B2" s="749" t="s">
        <v>44</v>
      </c>
      <c r="C2" s="749" t="s">
        <v>1264</v>
      </c>
      <c r="D2" s="749" t="s">
        <v>1265</v>
      </c>
      <c r="E2" s="749" t="s">
        <v>1266</v>
      </c>
      <c r="F2" s="749" t="s">
        <v>1267</v>
      </c>
      <c r="G2" s="749" t="s">
        <v>1268</v>
      </c>
      <c r="H2" s="749" t="s">
        <v>1269</v>
      </c>
      <c r="I2" s="749" t="s">
        <v>1270</v>
      </c>
    </row>
    <row r="3" spans="1:9" ht="15">
      <c r="A3" s="749">
        <v>1</v>
      </c>
      <c r="B3" s="749">
        <v>2</v>
      </c>
      <c r="C3" s="749">
        <v>3</v>
      </c>
      <c r="D3" s="749">
        <v>4</v>
      </c>
      <c r="E3" s="749">
        <v>5</v>
      </c>
      <c r="F3" s="749">
        <v>6</v>
      </c>
      <c r="G3" s="749">
        <v>7</v>
      </c>
      <c r="H3" s="749">
        <v>8</v>
      </c>
      <c r="I3" s="749">
        <v>9</v>
      </c>
    </row>
    <row r="4" spans="1:9" ht="25.5">
      <c r="A4" s="714" t="s">
        <v>38</v>
      </c>
      <c r="B4" s="715" t="s">
        <v>1271</v>
      </c>
      <c r="C4" s="716">
        <v>38050630</v>
      </c>
      <c r="D4" s="716">
        <v>5624927168</v>
      </c>
      <c r="E4" s="716">
        <v>391063639</v>
      </c>
      <c r="F4" s="716">
        <v>0</v>
      </c>
      <c r="G4" s="716">
        <v>544937821</v>
      </c>
      <c r="H4" s="716">
        <v>0</v>
      </c>
      <c r="I4" s="716">
        <v>6598979258</v>
      </c>
    </row>
    <row r="5" spans="1:9" ht="25.5">
      <c r="A5" s="717" t="s">
        <v>42</v>
      </c>
      <c r="B5" s="718" t="s">
        <v>1272</v>
      </c>
      <c r="C5" s="719">
        <v>0</v>
      </c>
      <c r="D5" s="719">
        <v>0</v>
      </c>
      <c r="E5" s="719">
        <v>0</v>
      </c>
      <c r="F5" s="719">
        <v>0</v>
      </c>
      <c r="G5" s="719">
        <v>495279313</v>
      </c>
      <c r="H5" s="719">
        <v>0</v>
      </c>
      <c r="I5" s="719">
        <v>495279313</v>
      </c>
    </row>
    <row r="6" spans="1:9" ht="12.75">
      <c r="A6" s="717" t="s">
        <v>43</v>
      </c>
      <c r="B6" s="718" t="s">
        <v>1273</v>
      </c>
      <c r="C6" s="719">
        <v>0</v>
      </c>
      <c r="D6" s="719">
        <v>0</v>
      </c>
      <c r="E6" s="719">
        <v>0</v>
      </c>
      <c r="F6" s="719">
        <v>0</v>
      </c>
      <c r="G6" s="719">
        <v>53372255</v>
      </c>
      <c r="H6" s="719">
        <v>0</v>
      </c>
      <c r="I6" s="719">
        <v>53372255</v>
      </c>
    </row>
    <row r="7" spans="1:9" ht="25.5">
      <c r="A7" s="717" t="s">
        <v>863</v>
      </c>
      <c r="B7" s="718" t="s">
        <v>1274</v>
      </c>
      <c r="C7" s="719">
        <v>0</v>
      </c>
      <c r="D7" s="719">
        <v>67271972</v>
      </c>
      <c r="E7" s="719">
        <v>2680963</v>
      </c>
      <c r="F7" s="719">
        <v>0</v>
      </c>
      <c r="G7" s="719">
        <v>0</v>
      </c>
      <c r="H7" s="719">
        <v>0</v>
      </c>
      <c r="I7" s="719">
        <v>69952935</v>
      </c>
    </row>
    <row r="8" spans="1:9" ht="12.75">
      <c r="A8" s="717" t="s">
        <v>842</v>
      </c>
      <c r="B8" s="718" t="s">
        <v>1275</v>
      </c>
      <c r="C8" s="719">
        <v>0</v>
      </c>
      <c r="D8" s="719">
        <v>0</v>
      </c>
      <c r="E8" s="719">
        <v>0</v>
      </c>
      <c r="F8" s="719">
        <v>0</v>
      </c>
      <c r="G8" s="719">
        <v>7368900</v>
      </c>
      <c r="H8" s="719">
        <v>0</v>
      </c>
      <c r="I8" s="719">
        <v>7368900</v>
      </c>
    </row>
    <row r="9" spans="1:9" ht="12.75">
      <c r="A9" s="717" t="s">
        <v>846</v>
      </c>
      <c r="B9" s="718" t="s">
        <v>1276</v>
      </c>
      <c r="C9" s="719">
        <v>6682029</v>
      </c>
      <c r="D9" s="719">
        <v>536449037</v>
      </c>
      <c r="E9" s="719">
        <v>44297183</v>
      </c>
      <c r="F9" s="719">
        <v>0</v>
      </c>
      <c r="G9" s="719">
        <v>273984377</v>
      </c>
      <c r="H9" s="719">
        <v>0</v>
      </c>
      <c r="I9" s="719">
        <v>861412626</v>
      </c>
    </row>
    <row r="10" spans="1:9" ht="12.75">
      <c r="A10" s="714" t="s">
        <v>865</v>
      </c>
      <c r="B10" s="715" t="s">
        <v>1277</v>
      </c>
      <c r="C10" s="716">
        <v>6682029</v>
      </c>
      <c r="D10" s="716">
        <v>603721009</v>
      </c>
      <c r="E10" s="716">
        <v>46978146</v>
      </c>
      <c r="F10" s="716">
        <v>0</v>
      </c>
      <c r="G10" s="716">
        <v>830004845</v>
      </c>
      <c r="H10" s="716">
        <v>0</v>
      </c>
      <c r="I10" s="716">
        <v>1487386029</v>
      </c>
    </row>
    <row r="11" spans="1:9" ht="12.75">
      <c r="A11" s="717" t="s">
        <v>848</v>
      </c>
      <c r="B11" s="718" t="s">
        <v>1278</v>
      </c>
      <c r="C11" s="719">
        <v>0</v>
      </c>
      <c r="D11" s="719">
        <v>4246255</v>
      </c>
      <c r="E11" s="719">
        <v>0</v>
      </c>
      <c r="F11" s="719">
        <v>0</v>
      </c>
      <c r="G11" s="719">
        <v>0</v>
      </c>
      <c r="H11" s="719">
        <v>0</v>
      </c>
      <c r="I11" s="719">
        <v>4246255</v>
      </c>
    </row>
    <row r="12" spans="1:9" ht="12.75">
      <c r="A12" s="717" t="s">
        <v>867</v>
      </c>
      <c r="B12" s="718" t="s">
        <v>1279</v>
      </c>
      <c r="C12" s="719">
        <v>6682029</v>
      </c>
      <c r="D12" s="719">
        <v>2690420</v>
      </c>
      <c r="E12" s="719">
        <v>45451010</v>
      </c>
      <c r="F12" s="719">
        <v>0</v>
      </c>
      <c r="G12" s="719">
        <v>877822209</v>
      </c>
      <c r="H12" s="719">
        <v>0</v>
      </c>
      <c r="I12" s="719">
        <v>932645668</v>
      </c>
    </row>
    <row r="13" spans="1:9" ht="12.75">
      <c r="A13" s="714" t="s">
        <v>869</v>
      </c>
      <c r="B13" s="715" t="s">
        <v>1280</v>
      </c>
      <c r="C13" s="716">
        <v>6682029</v>
      </c>
      <c r="D13" s="716">
        <v>6936675</v>
      </c>
      <c r="E13" s="716">
        <v>45451010</v>
      </c>
      <c r="F13" s="716">
        <v>0</v>
      </c>
      <c r="G13" s="716">
        <v>877822209</v>
      </c>
      <c r="H13" s="716">
        <v>0</v>
      </c>
      <c r="I13" s="716">
        <v>936891923</v>
      </c>
    </row>
    <row r="14" spans="1:9" ht="12.75">
      <c r="A14" s="714" t="s">
        <v>1281</v>
      </c>
      <c r="B14" s="715" t="s">
        <v>1282</v>
      </c>
      <c r="C14" s="716">
        <v>38050630</v>
      </c>
      <c r="D14" s="716">
        <v>6221711502</v>
      </c>
      <c r="E14" s="716">
        <v>392590775</v>
      </c>
      <c r="F14" s="716">
        <v>0</v>
      </c>
      <c r="G14" s="716">
        <v>497120457</v>
      </c>
      <c r="H14" s="716">
        <v>0</v>
      </c>
      <c r="I14" s="716">
        <v>7149473364</v>
      </c>
    </row>
    <row r="15" spans="1:9" ht="25.5">
      <c r="A15" s="714" t="s">
        <v>1231</v>
      </c>
      <c r="B15" s="715" t="s">
        <v>1283</v>
      </c>
      <c r="C15" s="716">
        <v>36822519</v>
      </c>
      <c r="D15" s="716">
        <v>1088761199</v>
      </c>
      <c r="E15" s="716">
        <v>291169517</v>
      </c>
      <c r="F15" s="716">
        <v>0</v>
      </c>
      <c r="G15" s="716">
        <v>0</v>
      </c>
      <c r="H15" s="716">
        <v>0</v>
      </c>
      <c r="I15" s="716">
        <v>1416753235</v>
      </c>
    </row>
    <row r="16" spans="1:9" ht="25.5">
      <c r="A16" s="717" t="s">
        <v>1233</v>
      </c>
      <c r="B16" s="718" t="s">
        <v>1284</v>
      </c>
      <c r="C16" s="719">
        <v>3359283</v>
      </c>
      <c r="D16" s="719">
        <v>127045453</v>
      </c>
      <c r="E16" s="719">
        <v>63111246</v>
      </c>
      <c r="F16" s="719">
        <v>0</v>
      </c>
      <c r="G16" s="719">
        <v>0</v>
      </c>
      <c r="H16" s="719">
        <v>0</v>
      </c>
      <c r="I16" s="719">
        <v>193515982</v>
      </c>
    </row>
    <row r="17" spans="1:9" ht="25.5">
      <c r="A17" s="717" t="s">
        <v>1235</v>
      </c>
      <c r="B17" s="718" t="s">
        <v>1285</v>
      </c>
      <c r="C17" s="719">
        <v>2638460</v>
      </c>
      <c r="D17" s="719">
        <v>0</v>
      </c>
      <c r="E17" s="719">
        <v>35822999</v>
      </c>
      <c r="F17" s="719">
        <v>0</v>
      </c>
      <c r="G17" s="719">
        <v>0</v>
      </c>
      <c r="H17" s="719">
        <v>0</v>
      </c>
      <c r="I17" s="719">
        <v>38461459</v>
      </c>
    </row>
    <row r="18" spans="1:9" ht="25.5">
      <c r="A18" s="714" t="s">
        <v>871</v>
      </c>
      <c r="B18" s="715" t="s">
        <v>1286</v>
      </c>
      <c r="C18" s="716">
        <v>37543342</v>
      </c>
      <c r="D18" s="716">
        <v>1215806652</v>
      </c>
      <c r="E18" s="716">
        <v>318457764</v>
      </c>
      <c r="F18" s="716">
        <v>0</v>
      </c>
      <c r="G18" s="716">
        <v>0</v>
      </c>
      <c r="H18" s="716">
        <v>0</v>
      </c>
      <c r="I18" s="716">
        <v>1571807758</v>
      </c>
    </row>
    <row r="19" spans="1:9" ht="25.5">
      <c r="A19" s="714" t="s">
        <v>1238</v>
      </c>
      <c r="B19" s="715" t="s">
        <v>1287</v>
      </c>
      <c r="C19" s="716">
        <v>0</v>
      </c>
      <c r="D19" s="716">
        <v>0</v>
      </c>
      <c r="E19" s="716">
        <v>11203854</v>
      </c>
      <c r="F19" s="716">
        <v>0</v>
      </c>
      <c r="G19" s="716">
        <v>0</v>
      </c>
      <c r="H19" s="716">
        <v>0</v>
      </c>
      <c r="I19" s="716">
        <v>11203854</v>
      </c>
    </row>
    <row r="20" spans="1:9" ht="25.5">
      <c r="A20" s="717" t="s">
        <v>1241</v>
      </c>
      <c r="B20" s="718" t="s">
        <v>1288</v>
      </c>
      <c r="C20" s="719">
        <v>0</v>
      </c>
      <c r="D20" s="719">
        <v>0</v>
      </c>
      <c r="E20" s="719">
        <v>10600382</v>
      </c>
      <c r="F20" s="719">
        <v>0</v>
      </c>
      <c r="G20" s="719">
        <v>0</v>
      </c>
      <c r="H20" s="719">
        <v>0</v>
      </c>
      <c r="I20" s="719">
        <v>10600382</v>
      </c>
    </row>
    <row r="21" spans="1:9" ht="25.5">
      <c r="A21" s="714" t="s">
        <v>1243</v>
      </c>
      <c r="B21" s="715" t="s">
        <v>1289</v>
      </c>
      <c r="C21" s="716">
        <v>0</v>
      </c>
      <c r="D21" s="716">
        <v>0</v>
      </c>
      <c r="E21" s="716">
        <v>603472</v>
      </c>
      <c r="F21" s="716">
        <v>0</v>
      </c>
      <c r="G21" s="716">
        <v>0</v>
      </c>
      <c r="H21" s="716">
        <v>0</v>
      </c>
      <c r="I21" s="716">
        <v>603472</v>
      </c>
    </row>
    <row r="22" spans="1:9" ht="12.75">
      <c r="A22" s="714" t="s">
        <v>1245</v>
      </c>
      <c r="B22" s="715" t="s">
        <v>1290</v>
      </c>
      <c r="C22" s="716">
        <v>37543342</v>
      </c>
      <c r="D22" s="716">
        <v>1215806652</v>
      </c>
      <c r="E22" s="716">
        <v>319061236</v>
      </c>
      <c r="F22" s="716">
        <v>0</v>
      </c>
      <c r="G22" s="716">
        <v>0</v>
      </c>
      <c r="H22" s="716">
        <v>0</v>
      </c>
      <c r="I22" s="716">
        <v>1572411230</v>
      </c>
    </row>
    <row r="23" spans="1:9" ht="12.75">
      <c r="A23" s="714" t="s">
        <v>1291</v>
      </c>
      <c r="B23" s="715" t="s">
        <v>1292</v>
      </c>
      <c r="C23" s="716">
        <v>507288</v>
      </c>
      <c r="D23" s="716">
        <v>5005904850</v>
      </c>
      <c r="E23" s="716">
        <v>73529539</v>
      </c>
      <c r="F23" s="716">
        <v>0</v>
      </c>
      <c r="G23" s="716">
        <v>497120457</v>
      </c>
      <c r="H23" s="716">
        <v>0</v>
      </c>
      <c r="I23" s="716">
        <v>5577062134</v>
      </c>
    </row>
    <row r="24" spans="1:9" ht="25.5">
      <c r="A24" s="717" t="s">
        <v>1293</v>
      </c>
      <c r="B24" s="718" t="s">
        <v>1294</v>
      </c>
      <c r="C24" s="719">
        <v>12291818</v>
      </c>
      <c r="D24" s="719">
        <v>1788536</v>
      </c>
      <c r="E24" s="719">
        <v>185592375</v>
      </c>
      <c r="F24" s="719">
        <v>0</v>
      </c>
      <c r="G24" s="719">
        <v>0</v>
      </c>
      <c r="H24" s="719">
        <v>0</v>
      </c>
      <c r="I24" s="719">
        <v>199672729</v>
      </c>
    </row>
  </sheetData>
  <sheetProtection/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&amp;LBátaszék Város Önkormányzata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25">
      <selection activeCell="L14" sqref="L14"/>
    </sheetView>
  </sheetViews>
  <sheetFormatPr defaultColWidth="9.00390625" defaultRowHeight="12.75"/>
  <cols>
    <col min="1" max="1" width="5.50390625" style="0" customWidth="1"/>
    <col min="2" max="2" width="64.00390625" style="0" customWidth="1"/>
    <col min="3" max="3" width="21.00390625" style="0" customWidth="1"/>
    <col min="4" max="4" width="19.125" style="0" customWidth="1"/>
    <col min="5" max="5" width="17.625" style="0" customWidth="1"/>
  </cols>
  <sheetData>
    <row r="1" spans="1:5" ht="24.75" customHeight="1" thickBot="1">
      <c r="A1" s="1070" t="s">
        <v>1330</v>
      </c>
      <c r="B1" s="1071"/>
      <c r="C1" s="1071"/>
      <c r="D1" s="1072"/>
      <c r="E1" s="1073"/>
    </row>
    <row r="2" spans="1:5" ht="45">
      <c r="A2" s="808" t="s">
        <v>823</v>
      </c>
      <c r="B2" s="816" t="s">
        <v>44</v>
      </c>
      <c r="C2" s="815" t="s">
        <v>1296</v>
      </c>
      <c r="D2" s="809" t="s">
        <v>1297</v>
      </c>
      <c r="E2" s="814" t="s">
        <v>1329</v>
      </c>
    </row>
    <row r="3" spans="1:5" ht="24.75" customHeight="1">
      <c r="A3" s="810">
        <v>1</v>
      </c>
      <c r="B3" s="811">
        <v>2</v>
      </c>
      <c r="C3" s="812">
        <v>4</v>
      </c>
      <c r="D3" s="812">
        <v>4</v>
      </c>
      <c r="E3" s="813">
        <v>3</v>
      </c>
    </row>
    <row r="4" spans="1:5" ht="25.5">
      <c r="A4" s="751" t="s">
        <v>6</v>
      </c>
      <c r="B4" s="752" t="s">
        <v>1298</v>
      </c>
      <c r="C4" s="753">
        <v>3000</v>
      </c>
      <c r="D4" s="753">
        <v>0</v>
      </c>
      <c r="E4" s="766"/>
    </row>
    <row r="5" spans="1:5" ht="24.75" customHeight="1">
      <c r="A5" s="751" t="s">
        <v>7</v>
      </c>
      <c r="B5" s="752" t="s">
        <v>1299</v>
      </c>
      <c r="C5" s="753"/>
      <c r="D5" s="753"/>
      <c r="E5" s="766"/>
    </row>
    <row r="6" spans="1:5" ht="24.75" customHeight="1">
      <c r="A6" s="751" t="s">
        <v>8</v>
      </c>
      <c r="B6" s="752" t="s">
        <v>1300</v>
      </c>
      <c r="C6" s="753"/>
      <c r="D6" s="753"/>
      <c r="E6" s="766"/>
    </row>
    <row r="7" spans="1:5" ht="24.75" customHeight="1">
      <c r="A7" s="751" t="s">
        <v>9</v>
      </c>
      <c r="B7" s="752" t="s">
        <v>1301</v>
      </c>
      <c r="C7" s="753"/>
      <c r="D7" s="753"/>
      <c r="E7" s="766"/>
    </row>
    <row r="8" spans="1:5" ht="24.75" customHeight="1">
      <c r="A8" s="751" t="s">
        <v>10</v>
      </c>
      <c r="B8" s="754" t="s">
        <v>1302</v>
      </c>
      <c r="C8" s="755">
        <f>SUM(C4:C7)</f>
        <v>3000</v>
      </c>
      <c r="D8" s="755">
        <f>SUM(D4:D7)</f>
        <v>0</v>
      </c>
      <c r="E8" s="767">
        <v>0</v>
      </c>
    </row>
    <row r="9" spans="1:5" ht="24.75" customHeight="1">
      <c r="A9" s="751" t="s">
        <v>11</v>
      </c>
      <c r="B9" s="752" t="s">
        <v>1303</v>
      </c>
      <c r="C9" s="753">
        <v>4500</v>
      </c>
      <c r="D9" s="753">
        <v>4500</v>
      </c>
      <c r="E9" s="766">
        <v>3626</v>
      </c>
    </row>
    <row r="10" spans="1:5" ht="24.75" customHeight="1">
      <c r="A10" s="751" t="s">
        <v>12</v>
      </c>
      <c r="B10" s="752" t="s">
        <v>1304</v>
      </c>
      <c r="C10" s="753">
        <v>5800</v>
      </c>
      <c r="D10" s="753">
        <v>5800</v>
      </c>
      <c r="E10" s="766">
        <v>5248</v>
      </c>
    </row>
    <row r="11" spans="1:5" ht="24.75" customHeight="1">
      <c r="A11" s="751" t="s">
        <v>13</v>
      </c>
      <c r="B11" s="752" t="s">
        <v>1305</v>
      </c>
      <c r="C11" s="753">
        <v>3500</v>
      </c>
      <c r="D11" s="753">
        <v>2300</v>
      </c>
      <c r="E11" s="766">
        <v>1575</v>
      </c>
    </row>
    <row r="12" spans="1:5" ht="24.75" customHeight="1">
      <c r="A12" s="751" t="s">
        <v>14</v>
      </c>
      <c r="B12" s="752" t="s">
        <v>1306</v>
      </c>
      <c r="C12" s="753">
        <v>1000</v>
      </c>
      <c r="D12" s="753">
        <v>1000</v>
      </c>
      <c r="E12" s="766">
        <v>625</v>
      </c>
    </row>
    <row r="13" spans="1:5" ht="24.75" customHeight="1">
      <c r="A13" s="751" t="s">
        <v>15</v>
      </c>
      <c r="B13" s="752" t="s">
        <v>1307</v>
      </c>
      <c r="C13" s="753"/>
      <c r="D13" s="753"/>
      <c r="E13" s="766"/>
    </row>
    <row r="14" spans="1:5" ht="24.75" customHeight="1">
      <c r="A14" s="751" t="s">
        <v>16</v>
      </c>
      <c r="B14" s="752" t="s">
        <v>1308</v>
      </c>
      <c r="C14" s="753">
        <v>200</v>
      </c>
      <c r="D14" s="753">
        <v>200</v>
      </c>
      <c r="E14" s="766">
        <v>58</v>
      </c>
    </row>
    <row r="15" spans="1:5" ht="24.75" customHeight="1">
      <c r="A15" s="751" t="s">
        <v>17</v>
      </c>
      <c r="B15" s="752" t="s">
        <v>1309</v>
      </c>
      <c r="C15" s="753"/>
      <c r="D15" s="753"/>
      <c r="E15" s="766"/>
    </row>
    <row r="16" spans="1:5" ht="24.75" customHeight="1">
      <c r="A16" s="751" t="s">
        <v>18</v>
      </c>
      <c r="B16" s="752" t="s">
        <v>1310</v>
      </c>
      <c r="C16" s="753">
        <v>3211</v>
      </c>
      <c r="D16" s="753"/>
      <c r="E16" s="766"/>
    </row>
    <row r="17" spans="1:5" ht="24.75" customHeight="1">
      <c r="A17" s="751" t="s">
        <v>19</v>
      </c>
      <c r="B17" s="752" t="s">
        <v>1311</v>
      </c>
      <c r="C17" s="753">
        <v>250</v>
      </c>
      <c r="D17" s="753">
        <v>250</v>
      </c>
      <c r="E17" s="766">
        <v>82</v>
      </c>
    </row>
    <row r="18" spans="1:5" ht="24.75" customHeight="1">
      <c r="A18" s="751" t="s">
        <v>20</v>
      </c>
      <c r="B18" s="756" t="s">
        <v>1312</v>
      </c>
      <c r="C18" s="753"/>
      <c r="D18" s="753"/>
      <c r="E18" s="766"/>
    </row>
    <row r="19" spans="1:5" ht="24.75" customHeight="1">
      <c r="A19" s="751" t="s">
        <v>21</v>
      </c>
      <c r="B19" s="752" t="s">
        <v>1313</v>
      </c>
      <c r="C19" s="753">
        <v>200</v>
      </c>
      <c r="D19" s="753"/>
      <c r="E19" s="766"/>
    </row>
    <row r="20" spans="1:5" ht="24.75" customHeight="1">
      <c r="A20" s="751" t="s">
        <v>22</v>
      </c>
      <c r="B20" s="752" t="s">
        <v>1314</v>
      </c>
      <c r="C20" s="753">
        <v>500</v>
      </c>
      <c r="D20" s="753">
        <v>500</v>
      </c>
      <c r="E20" s="766"/>
    </row>
    <row r="21" spans="1:5" ht="24.75" customHeight="1">
      <c r="A21" s="751" t="s">
        <v>23</v>
      </c>
      <c r="B21" s="754" t="s">
        <v>1315</v>
      </c>
      <c r="C21" s="755">
        <f>SUM(C9:C20)</f>
        <v>19161</v>
      </c>
      <c r="D21" s="755">
        <f>SUM(D9:D20)</f>
        <v>14550</v>
      </c>
      <c r="E21" s="767">
        <v>11414</v>
      </c>
    </row>
    <row r="22" spans="1:5" ht="24.75" customHeight="1">
      <c r="A22" s="751" t="s">
        <v>24</v>
      </c>
      <c r="B22" s="752" t="s">
        <v>1316</v>
      </c>
      <c r="C22" s="753">
        <v>1000</v>
      </c>
      <c r="D22" s="753">
        <v>1000</v>
      </c>
      <c r="E22" s="766">
        <v>820</v>
      </c>
    </row>
    <row r="23" spans="1:5" ht="24.75" customHeight="1">
      <c r="A23" s="751" t="s">
        <v>25</v>
      </c>
      <c r="B23" s="752" t="s">
        <v>1317</v>
      </c>
      <c r="C23" s="753">
        <v>250</v>
      </c>
      <c r="D23" s="753">
        <v>250</v>
      </c>
      <c r="E23" s="766">
        <v>150</v>
      </c>
    </row>
    <row r="24" spans="1:5" ht="24.75" customHeight="1">
      <c r="A24" s="751" t="s">
        <v>26</v>
      </c>
      <c r="B24" s="752" t="s">
        <v>1318</v>
      </c>
      <c r="C24" s="753">
        <v>220</v>
      </c>
      <c r="D24" s="753">
        <v>220</v>
      </c>
      <c r="E24" s="766">
        <v>102</v>
      </c>
    </row>
    <row r="25" spans="1:5" ht="24.75" customHeight="1">
      <c r="A25" s="751" t="s">
        <v>27</v>
      </c>
      <c r="B25" s="752" t="s">
        <v>1319</v>
      </c>
      <c r="C25" s="753"/>
      <c r="D25" s="753"/>
      <c r="E25" s="766"/>
    </row>
    <row r="26" spans="1:5" ht="24.75" customHeight="1">
      <c r="A26" s="751" t="s">
        <v>28</v>
      </c>
      <c r="B26" s="752" t="s">
        <v>1320</v>
      </c>
      <c r="C26" s="753">
        <v>1000</v>
      </c>
      <c r="D26" s="753"/>
      <c r="E26" s="766"/>
    </row>
    <row r="27" spans="1:5" ht="24.75" customHeight="1">
      <c r="A27" s="751" t="s">
        <v>29</v>
      </c>
      <c r="B27" s="752" t="s">
        <v>1321</v>
      </c>
      <c r="C27" s="753"/>
      <c r="D27" s="753"/>
      <c r="E27" s="766"/>
    </row>
    <row r="28" spans="1:5" ht="24.75" customHeight="1">
      <c r="A28" s="751" t="s">
        <v>30</v>
      </c>
      <c r="B28" s="754" t="s">
        <v>1322</v>
      </c>
      <c r="C28" s="755">
        <f>SUM(C22:C27)</f>
        <v>2470</v>
      </c>
      <c r="D28" s="755">
        <f>SUM(D22:D27)</f>
        <v>1470</v>
      </c>
      <c r="E28" s="767">
        <v>1072</v>
      </c>
    </row>
    <row r="29" spans="1:5" ht="24.75" customHeight="1" thickBot="1">
      <c r="A29" s="757" t="s">
        <v>31</v>
      </c>
      <c r="B29" s="758" t="s">
        <v>1323</v>
      </c>
      <c r="C29" s="759">
        <f>C8+C21+C28</f>
        <v>24631</v>
      </c>
      <c r="D29" s="759">
        <f>D8+D21+D28</f>
        <v>16020</v>
      </c>
      <c r="E29" s="768">
        <v>12486</v>
      </c>
    </row>
    <row r="30" spans="2:5" ht="24.75" customHeight="1">
      <c r="B30" s="775" t="s">
        <v>1325</v>
      </c>
      <c r="C30" s="760">
        <v>1000</v>
      </c>
      <c r="D30" s="760">
        <v>2200</v>
      </c>
      <c r="E30" s="765">
        <v>1989</v>
      </c>
    </row>
    <row r="31" spans="1:5" ht="24.75" customHeight="1">
      <c r="A31" s="748" t="s">
        <v>1324</v>
      </c>
      <c r="B31" s="774" t="s">
        <v>1326</v>
      </c>
      <c r="C31" s="760">
        <v>3211</v>
      </c>
      <c r="D31" s="760">
        <v>3211</v>
      </c>
      <c r="E31" s="764">
        <v>2944</v>
      </c>
    </row>
    <row r="32" spans="1:5" ht="24.75" customHeight="1">
      <c r="A32" s="748" t="s">
        <v>1324</v>
      </c>
      <c r="B32" s="774" t="s">
        <v>1320</v>
      </c>
      <c r="C32" s="761">
        <v>1000</v>
      </c>
      <c r="D32" s="761">
        <v>1000</v>
      </c>
      <c r="E32" s="764">
        <v>874</v>
      </c>
    </row>
    <row r="33" spans="1:5" ht="24.75" customHeight="1">
      <c r="A33" s="748" t="s">
        <v>1324</v>
      </c>
      <c r="B33" s="804" t="s">
        <v>1327</v>
      </c>
      <c r="C33" s="719">
        <v>2328</v>
      </c>
      <c r="D33" s="719">
        <v>2328</v>
      </c>
      <c r="E33" s="769">
        <v>1956</v>
      </c>
    </row>
    <row r="34" spans="1:5" ht="24.75" customHeight="1">
      <c r="A34" s="748" t="s">
        <v>21</v>
      </c>
      <c r="B34" s="804" t="s">
        <v>1313</v>
      </c>
      <c r="C34" s="763"/>
      <c r="D34" s="763">
        <v>200</v>
      </c>
      <c r="E34" s="769">
        <v>200</v>
      </c>
    </row>
    <row r="35" spans="1:5" ht="24.75" customHeight="1" thickBot="1">
      <c r="A35" s="751" t="s">
        <v>1324</v>
      </c>
      <c r="B35" s="805" t="s">
        <v>1328</v>
      </c>
      <c r="C35" s="806">
        <f>SUM(C30:C33)</f>
        <v>7539</v>
      </c>
      <c r="D35" s="806">
        <f>SUM(D30:D33)</f>
        <v>8739</v>
      </c>
      <c r="E35" s="770">
        <f>SUM(E30:E33)</f>
        <v>7763</v>
      </c>
    </row>
    <row r="36" spans="1:5" ht="24.75" customHeight="1">
      <c r="A36" s="751" t="s">
        <v>1324</v>
      </c>
      <c r="B36" s="807" t="s">
        <v>1307</v>
      </c>
      <c r="C36" s="762">
        <v>1600</v>
      </c>
      <c r="D36" s="762">
        <v>1600</v>
      </c>
      <c r="E36" s="771">
        <v>1215</v>
      </c>
    </row>
    <row r="37" spans="1:5" ht="24.75" customHeight="1">
      <c r="A37" s="751" t="s">
        <v>1324</v>
      </c>
      <c r="B37" s="774" t="s">
        <v>1298</v>
      </c>
      <c r="C37" s="762"/>
      <c r="D37" s="762"/>
      <c r="E37" s="765">
        <v>1983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52">
      <selection activeCell="O41" sqref="O41"/>
    </sheetView>
  </sheetViews>
  <sheetFormatPr defaultColWidth="9.00390625" defaultRowHeight="12.75"/>
  <cols>
    <col min="2" max="2" width="52.375" style="0" customWidth="1"/>
    <col min="3" max="4" width="17.125" style="0" bestFit="1" customWidth="1"/>
    <col min="5" max="5" width="17.125" style="0" customWidth="1"/>
  </cols>
  <sheetData>
    <row r="1" spans="1:5" ht="19.5" customHeight="1" thickBot="1">
      <c r="A1" s="817"/>
      <c r="B1" s="833" t="s">
        <v>1408</v>
      </c>
      <c r="C1" s="818"/>
      <c r="D1" s="818"/>
      <c r="E1" s="818" t="s">
        <v>1331</v>
      </c>
    </row>
    <row r="2" spans="1:5" ht="38.25">
      <c r="A2" s="819"/>
      <c r="B2" s="820" t="s">
        <v>1332</v>
      </c>
      <c r="C2" s="821" t="s">
        <v>1333</v>
      </c>
      <c r="D2" s="821" t="s">
        <v>1401</v>
      </c>
      <c r="E2" s="821" t="s">
        <v>1407</v>
      </c>
    </row>
    <row r="3" spans="1:5" ht="19.5" customHeight="1">
      <c r="A3" s="822">
        <v>1</v>
      </c>
      <c r="B3" s="823">
        <v>2</v>
      </c>
      <c r="C3" s="824">
        <v>3</v>
      </c>
      <c r="D3" s="824">
        <v>4</v>
      </c>
      <c r="E3" s="836">
        <v>5</v>
      </c>
    </row>
    <row r="4" spans="1:5" ht="19.5" customHeight="1">
      <c r="A4" s="777" t="s">
        <v>1334</v>
      </c>
      <c r="B4" s="778" t="s">
        <v>1335</v>
      </c>
      <c r="C4" s="794">
        <f>C5+C8+C12+C19</f>
        <v>91243</v>
      </c>
      <c r="D4" s="794">
        <f>D5+D8+D12+D19</f>
        <v>121448</v>
      </c>
      <c r="E4" s="794">
        <f>E5+E8+E12+E19</f>
        <v>123477</v>
      </c>
    </row>
    <row r="5" spans="1:5" ht="19.5" customHeight="1">
      <c r="A5" s="779" t="s">
        <v>1336</v>
      </c>
      <c r="B5" s="780" t="s">
        <v>1337</v>
      </c>
      <c r="C5" s="795">
        <f>C6+C7</f>
        <v>0</v>
      </c>
      <c r="D5" s="795">
        <f>D6+D7</f>
        <v>0</v>
      </c>
      <c r="E5" s="795"/>
    </row>
    <row r="6" spans="1:5" ht="19.5" customHeight="1">
      <c r="A6" s="772" t="s">
        <v>1338</v>
      </c>
      <c r="B6" s="781" t="s">
        <v>1339</v>
      </c>
      <c r="C6" s="796"/>
      <c r="D6" s="796"/>
      <c r="E6" s="796"/>
    </row>
    <row r="7" spans="1:5" ht="19.5" customHeight="1">
      <c r="A7" s="772" t="s">
        <v>1340</v>
      </c>
      <c r="B7" s="781"/>
      <c r="C7" s="796"/>
      <c r="D7" s="796"/>
      <c r="E7" s="796"/>
    </row>
    <row r="8" spans="1:5" ht="19.5" customHeight="1">
      <c r="A8" s="783" t="s">
        <v>1341</v>
      </c>
      <c r="B8" s="780" t="s">
        <v>1342</v>
      </c>
      <c r="C8" s="795">
        <f>SUM(C9:C10)</f>
        <v>4846</v>
      </c>
      <c r="D8" s="795">
        <f>SUM(D9:D11)</f>
        <v>6877</v>
      </c>
      <c r="E8" s="795">
        <f>SUM(E9:E11)</f>
        <v>5854</v>
      </c>
    </row>
    <row r="9" spans="1:6" ht="19.5" customHeight="1">
      <c r="A9" s="772"/>
      <c r="B9" s="784" t="s">
        <v>1343</v>
      </c>
      <c r="C9" s="796">
        <v>4846</v>
      </c>
      <c r="D9" s="796">
        <v>0</v>
      </c>
      <c r="E9" s="796"/>
      <c r="F9" t="s">
        <v>1344</v>
      </c>
    </row>
    <row r="10" spans="1:5" ht="19.5" customHeight="1">
      <c r="A10" s="772"/>
      <c r="B10" s="825" t="s">
        <v>774</v>
      </c>
      <c r="C10" s="796"/>
      <c r="D10" s="796">
        <v>1023</v>
      </c>
      <c r="E10" s="796"/>
    </row>
    <row r="11" spans="1:5" ht="19.5" customHeight="1">
      <c r="A11" s="772"/>
      <c r="B11" s="826" t="s">
        <v>1345</v>
      </c>
      <c r="C11" s="796"/>
      <c r="D11" s="796">
        <v>5854</v>
      </c>
      <c r="E11" s="796">
        <v>5854</v>
      </c>
    </row>
    <row r="12" spans="1:5" ht="19.5" customHeight="1">
      <c r="A12" s="779" t="s">
        <v>1346</v>
      </c>
      <c r="B12" s="780" t="s">
        <v>1347</v>
      </c>
      <c r="C12" s="795">
        <f>C13+C14+C15</f>
        <v>59894</v>
      </c>
      <c r="D12" s="795">
        <f>D13+D14+D15+D16+D17+D18</f>
        <v>75010</v>
      </c>
      <c r="E12" s="795">
        <f>E13+E14+E15+E16+E17+E18</f>
        <v>77041</v>
      </c>
    </row>
    <row r="13" spans="1:5" ht="19.5" customHeight="1">
      <c r="A13" s="772"/>
      <c r="B13" s="782" t="s">
        <v>1348</v>
      </c>
      <c r="C13" s="796">
        <v>50075</v>
      </c>
      <c r="D13" s="796">
        <v>61075</v>
      </c>
      <c r="E13" s="796">
        <v>61075</v>
      </c>
    </row>
    <row r="14" spans="1:5" ht="19.5" customHeight="1">
      <c r="A14" s="772"/>
      <c r="B14" s="782" t="s">
        <v>1349</v>
      </c>
      <c r="C14" s="796">
        <v>3271</v>
      </c>
      <c r="D14" s="796">
        <v>3271</v>
      </c>
      <c r="E14" s="796">
        <v>12844</v>
      </c>
    </row>
    <row r="15" spans="1:5" ht="19.5" customHeight="1">
      <c r="A15" s="772"/>
      <c r="B15" s="782" t="s">
        <v>1350</v>
      </c>
      <c r="C15" s="796">
        <v>6548</v>
      </c>
      <c r="D15" s="796">
        <v>6548</v>
      </c>
      <c r="E15" s="796"/>
    </row>
    <row r="16" spans="1:5" ht="19.5" customHeight="1">
      <c r="A16" s="772"/>
      <c r="B16" s="782" t="s">
        <v>1351</v>
      </c>
      <c r="C16" s="796"/>
      <c r="D16" s="796">
        <v>2626</v>
      </c>
      <c r="E16" s="796">
        <v>2622</v>
      </c>
    </row>
    <row r="17" spans="1:5" ht="19.5" customHeight="1">
      <c r="A17" s="772"/>
      <c r="B17" s="782" t="s">
        <v>1352</v>
      </c>
      <c r="C17" s="796"/>
      <c r="D17" s="796">
        <v>990</v>
      </c>
      <c r="E17" s="796"/>
    </row>
    <row r="18" spans="1:5" ht="19.5" customHeight="1">
      <c r="A18" s="772"/>
      <c r="B18" s="782" t="s">
        <v>1353</v>
      </c>
      <c r="C18" s="796"/>
      <c r="D18" s="796">
        <v>500</v>
      </c>
      <c r="E18" s="796">
        <v>500</v>
      </c>
    </row>
    <row r="19" spans="1:5" ht="19.5" customHeight="1">
      <c r="A19" s="779" t="s">
        <v>1341</v>
      </c>
      <c r="B19" s="780" t="s">
        <v>1354</v>
      </c>
      <c r="C19" s="795">
        <f>C21+C29+C41+C45</f>
        <v>26503</v>
      </c>
      <c r="D19" s="795">
        <f>D21+D29+D41+D45</f>
        <v>39561</v>
      </c>
      <c r="E19" s="795">
        <f>E21+E29+E41+E45</f>
        <v>40582</v>
      </c>
    </row>
    <row r="20" spans="1:5" ht="19.5" customHeight="1">
      <c r="A20" s="772"/>
      <c r="B20" s="782"/>
      <c r="C20" s="796"/>
      <c r="D20" s="796"/>
      <c r="E20" s="796"/>
    </row>
    <row r="21" spans="1:5" ht="19.5" customHeight="1">
      <c r="A21" s="785" t="s">
        <v>1355</v>
      </c>
      <c r="B21" s="827" t="s">
        <v>1356</v>
      </c>
      <c r="C21" s="797">
        <f>SUM(C22:C28)</f>
        <v>3000</v>
      </c>
      <c r="D21" s="797">
        <f>SUM(D22:D28)</f>
        <v>8431</v>
      </c>
      <c r="E21" s="797">
        <f>SUM(E22:E28)</f>
        <v>9454</v>
      </c>
    </row>
    <row r="22" spans="1:5" ht="19.5" customHeight="1">
      <c r="A22" s="772"/>
      <c r="B22" s="782" t="s">
        <v>1357</v>
      </c>
      <c r="C22" s="796"/>
      <c r="D22" s="796"/>
      <c r="E22" s="796"/>
    </row>
    <row r="23" spans="1:5" ht="19.5" customHeight="1">
      <c r="A23" s="772"/>
      <c r="B23" s="784" t="s">
        <v>1358</v>
      </c>
      <c r="C23" s="799">
        <v>3000</v>
      </c>
      <c r="D23" s="799">
        <v>0</v>
      </c>
      <c r="E23" s="799"/>
    </row>
    <row r="24" spans="1:5" ht="19.5" customHeight="1">
      <c r="A24" s="772"/>
      <c r="B24" s="784" t="s">
        <v>1359</v>
      </c>
      <c r="C24" s="796"/>
      <c r="D24" s="796">
        <v>3000</v>
      </c>
      <c r="E24" s="796">
        <v>3000</v>
      </c>
    </row>
    <row r="25" spans="1:5" ht="19.5" customHeight="1">
      <c r="A25" s="772"/>
      <c r="B25" s="825" t="s">
        <v>774</v>
      </c>
      <c r="C25" s="796"/>
      <c r="D25" s="796"/>
      <c r="E25" s="796">
        <v>1023</v>
      </c>
    </row>
    <row r="26" spans="1:6" ht="19.5" customHeight="1">
      <c r="A26" s="772"/>
      <c r="B26" s="784" t="s">
        <v>1360</v>
      </c>
      <c r="C26" s="796"/>
      <c r="D26" s="796">
        <v>2127</v>
      </c>
      <c r="E26" s="796">
        <v>2127</v>
      </c>
      <c r="F26" t="s">
        <v>1361</v>
      </c>
    </row>
    <row r="27" spans="1:6" ht="19.5" customHeight="1">
      <c r="A27" s="772"/>
      <c r="B27" s="784" t="s">
        <v>1362</v>
      </c>
      <c r="C27" s="796"/>
      <c r="D27" s="796">
        <v>3304</v>
      </c>
      <c r="E27" s="796">
        <v>3304</v>
      </c>
      <c r="F27" t="s">
        <v>1361</v>
      </c>
    </row>
    <row r="28" spans="1:5" ht="19.5" customHeight="1">
      <c r="A28" s="772"/>
      <c r="B28" s="784"/>
      <c r="C28" s="796"/>
      <c r="D28" s="796"/>
      <c r="E28" s="796"/>
    </row>
    <row r="29" spans="1:5" ht="19.5" customHeight="1">
      <c r="A29" s="785" t="s">
        <v>1363</v>
      </c>
      <c r="B29" s="827" t="s">
        <v>1364</v>
      </c>
      <c r="C29" s="797">
        <f>SUM(C30:C40)</f>
        <v>23503</v>
      </c>
      <c r="D29" s="797">
        <f>SUM(D30:D40)</f>
        <v>28223</v>
      </c>
      <c r="E29" s="797">
        <f>SUM(E30:E40)</f>
        <v>28221</v>
      </c>
    </row>
    <row r="30" spans="1:6" ht="19.5" customHeight="1">
      <c r="A30" s="772"/>
      <c r="B30" s="782" t="s">
        <v>1365</v>
      </c>
      <c r="C30" s="796"/>
      <c r="D30" s="796">
        <v>1660</v>
      </c>
      <c r="E30" s="796"/>
      <c r="F30" t="s">
        <v>1361</v>
      </c>
    </row>
    <row r="31" spans="1:5" ht="19.5" customHeight="1">
      <c r="A31" s="772"/>
      <c r="B31" s="782" t="s">
        <v>1366</v>
      </c>
      <c r="C31" s="798"/>
      <c r="D31" s="798"/>
      <c r="E31" s="798"/>
    </row>
    <row r="32" spans="1:5" ht="19.5" customHeight="1">
      <c r="A32" s="772"/>
      <c r="B32" s="782" t="s">
        <v>1367</v>
      </c>
      <c r="C32" s="798"/>
      <c r="D32" s="798"/>
      <c r="E32" s="798"/>
    </row>
    <row r="33" spans="1:5" ht="19.5" customHeight="1">
      <c r="A33" s="772"/>
      <c r="B33" s="782" t="s">
        <v>1368</v>
      </c>
      <c r="C33" s="798"/>
      <c r="D33" s="798"/>
      <c r="E33" s="798"/>
    </row>
    <row r="34" spans="1:5" ht="19.5" customHeight="1">
      <c r="A34" s="772"/>
      <c r="B34" s="782" t="s">
        <v>1369</v>
      </c>
      <c r="C34" s="798">
        <v>5983</v>
      </c>
      <c r="D34" s="798">
        <v>5983</v>
      </c>
      <c r="E34" s="798">
        <v>5983</v>
      </c>
    </row>
    <row r="35" spans="1:5" ht="22.5">
      <c r="A35" s="772"/>
      <c r="B35" s="782" t="s">
        <v>1370</v>
      </c>
      <c r="C35" s="798">
        <v>4116</v>
      </c>
      <c r="D35" s="798">
        <v>4116</v>
      </c>
      <c r="E35" s="798">
        <v>4216</v>
      </c>
    </row>
    <row r="36" spans="1:5" ht="22.5">
      <c r="A36" s="772"/>
      <c r="B36" s="782" t="s">
        <v>1371</v>
      </c>
      <c r="C36" s="798"/>
      <c r="D36" s="798"/>
      <c r="E36" s="798"/>
    </row>
    <row r="37" spans="1:5" ht="19.5" customHeight="1">
      <c r="A37" s="772"/>
      <c r="B37" s="782" t="s">
        <v>1372</v>
      </c>
      <c r="C37" s="798">
        <v>6635</v>
      </c>
      <c r="D37" s="798">
        <v>6635</v>
      </c>
      <c r="E37" s="798">
        <v>7342</v>
      </c>
    </row>
    <row r="38" spans="1:5" ht="19.5" customHeight="1">
      <c r="A38" s="772"/>
      <c r="B38" s="782" t="s">
        <v>1373</v>
      </c>
      <c r="C38" s="798">
        <v>6769</v>
      </c>
      <c r="D38" s="798">
        <v>6769</v>
      </c>
      <c r="E38" s="798">
        <v>7620</v>
      </c>
    </row>
    <row r="39" spans="1:5" ht="19.5" customHeight="1">
      <c r="A39" s="772"/>
      <c r="B39" s="782" t="s">
        <v>1374</v>
      </c>
      <c r="C39" s="798"/>
      <c r="D39" s="798">
        <v>3060</v>
      </c>
      <c r="E39" s="798">
        <v>3060</v>
      </c>
    </row>
    <row r="40" spans="1:5" ht="19.5" customHeight="1">
      <c r="A40" s="772"/>
      <c r="B40" s="782"/>
      <c r="C40" s="798"/>
      <c r="D40" s="798"/>
      <c r="E40" s="798"/>
    </row>
    <row r="41" spans="1:5" ht="19.5" customHeight="1">
      <c r="A41" s="785" t="s">
        <v>1375</v>
      </c>
      <c r="B41" s="827" t="s">
        <v>1425</v>
      </c>
      <c r="C41" s="800">
        <f>SUM(C42:C44)</f>
        <v>0</v>
      </c>
      <c r="D41" s="800">
        <f>SUM(D42:D44)</f>
        <v>2907</v>
      </c>
      <c r="E41" s="800">
        <f>SUM(E42:E44)</f>
        <v>2907</v>
      </c>
    </row>
    <row r="42" spans="1:5" ht="19.5" customHeight="1">
      <c r="A42" s="772"/>
      <c r="B42" s="782" t="s">
        <v>1376</v>
      </c>
      <c r="C42" s="796"/>
      <c r="D42" s="796">
        <v>564</v>
      </c>
      <c r="E42" s="796">
        <v>564</v>
      </c>
    </row>
    <row r="43" spans="1:5" ht="19.5" customHeight="1">
      <c r="A43" s="772"/>
      <c r="B43" s="782" t="s">
        <v>1377</v>
      </c>
      <c r="C43" s="796"/>
      <c r="D43" s="796">
        <v>2343</v>
      </c>
      <c r="E43" s="796">
        <v>2343</v>
      </c>
    </row>
    <row r="44" spans="1:5" ht="19.5" customHeight="1">
      <c r="A44" s="786"/>
      <c r="B44" s="782"/>
      <c r="C44" s="799"/>
      <c r="D44" s="799"/>
      <c r="E44" s="799"/>
    </row>
    <row r="45" spans="1:5" ht="19.5" customHeight="1">
      <c r="A45" s="785" t="s">
        <v>1378</v>
      </c>
      <c r="B45" s="827" t="s">
        <v>1379</v>
      </c>
      <c r="C45" s="797"/>
      <c r="D45" s="797"/>
      <c r="E45" s="797"/>
    </row>
    <row r="46" spans="1:5" ht="19.5" customHeight="1">
      <c r="A46" s="783" t="s">
        <v>60</v>
      </c>
      <c r="B46" s="787" t="s">
        <v>1380</v>
      </c>
      <c r="C46" s="801">
        <f>C47+C49+C57+C63+C60</f>
        <v>179656</v>
      </c>
      <c r="D46" s="801">
        <f>D47+D49+D57+D63+D60</f>
        <v>138006</v>
      </c>
      <c r="E46" s="801">
        <f>E47+E49+E57+E63+E60</f>
        <v>136222</v>
      </c>
    </row>
    <row r="47" spans="1:5" ht="19.5" customHeight="1">
      <c r="A47" s="785" t="s">
        <v>1381</v>
      </c>
      <c r="B47" s="788" t="s">
        <v>1337</v>
      </c>
      <c r="C47" s="802"/>
      <c r="D47" s="802"/>
      <c r="E47" s="802"/>
    </row>
    <row r="48" spans="1:5" ht="19.5" customHeight="1">
      <c r="A48" s="772"/>
      <c r="B48" s="782"/>
      <c r="C48" s="796"/>
      <c r="D48" s="796"/>
      <c r="E48" s="796"/>
    </row>
    <row r="49" spans="1:5" ht="19.5" customHeight="1">
      <c r="A49" s="785" t="s">
        <v>1382</v>
      </c>
      <c r="B49" s="788" t="s">
        <v>1383</v>
      </c>
      <c r="C49" s="802">
        <f>SUM(C50:C55)</f>
        <v>127218</v>
      </c>
      <c r="D49" s="802">
        <f>SUM(D50:D56)</f>
        <v>81181</v>
      </c>
      <c r="E49" s="802">
        <f>SUM(E50:E56)</f>
        <v>117222</v>
      </c>
    </row>
    <row r="50" spans="1:5" ht="19.5" customHeight="1">
      <c r="A50" s="785"/>
      <c r="B50" s="825" t="s">
        <v>774</v>
      </c>
      <c r="C50" s="799">
        <v>62141</v>
      </c>
      <c r="D50" s="799">
        <v>64409</v>
      </c>
      <c r="E50" s="799">
        <v>102234</v>
      </c>
    </row>
    <row r="51" spans="1:5" ht="19.5" customHeight="1">
      <c r="A51" s="785"/>
      <c r="B51" s="784" t="s">
        <v>1384</v>
      </c>
      <c r="C51" s="799">
        <v>15541</v>
      </c>
      <c r="D51" s="799">
        <v>2541</v>
      </c>
      <c r="E51" s="799">
        <v>2541</v>
      </c>
    </row>
    <row r="52" spans="1:5" ht="19.5" customHeight="1">
      <c r="A52" s="785"/>
      <c r="B52" s="784" t="s">
        <v>1385</v>
      </c>
      <c r="C52" s="799">
        <v>1696</v>
      </c>
      <c r="D52" s="799">
        <v>1696</v>
      </c>
      <c r="E52" s="799">
        <v>478</v>
      </c>
    </row>
    <row r="53" spans="1:5" ht="19.5" customHeight="1">
      <c r="A53" s="785"/>
      <c r="B53" s="784" t="s">
        <v>1386</v>
      </c>
      <c r="C53" s="799">
        <v>45690</v>
      </c>
      <c r="D53" s="799">
        <v>0</v>
      </c>
      <c r="E53" s="799"/>
    </row>
    <row r="54" spans="1:6" ht="19.5" customHeight="1">
      <c r="A54" s="785"/>
      <c r="B54" s="784" t="s">
        <v>1343</v>
      </c>
      <c r="C54" s="799">
        <v>2150</v>
      </c>
      <c r="D54" s="799">
        <v>566</v>
      </c>
      <c r="E54" s="799"/>
      <c r="F54" t="s">
        <v>1344</v>
      </c>
    </row>
    <row r="55" spans="1:5" ht="19.5" customHeight="1">
      <c r="A55" s="785"/>
      <c r="B55" s="828" t="s">
        <v>1387</v>
      </c>
      <c r="C55" s="799"/>
      <c r="D55" s="799">
        <v>8921</v>
      </c>
      <c r="E55" s="799">
        <v>8921</v>
      </c>
    </row>
    <row r="56" spans="1:5" ht="19.5" customHeight="1">
      <c r="A56" s="785"/>
      <c r="B56" s="826" t="s">
        <v>1345</v>
      </c>
      <c r="C56" s="799"/>
      <c r="D56" s="799">
        <v>3048</v>
      </c>
      <c r="E56" s="799">
        <v>3048</v>
      </c>
    </row>
    <row r="57" spans="1:5" ht="19.5" customHeight="1">
      <c r="A57" s="785" t="s">
        <v>1388</v>
      </c>
      <c r="B57" s="788" t="s">
        <v>1347</v>
      </c>
      <c r="C57" s="802">
        <f>C58+C59</f>
        <v>30000</v>
      </c>
      <c r="D57" s="802">
        <f>D58+D59</f>
        <v>19000</v>
      </c>
      <c r="E57" s="802">
        <f>E58+E59</f>
        <v>19000</v>
      </c>
    </row>
    <row r="58" spans="1:5" ht="19.5" customHeight="1">
      <c r="A58" s="772"/>
      <c r="B58" s="829" t="s">
        <v>1389</v>
      </c>
      <c r="C58" s="799">
        <v>30000</v>
      </c>
      <c r="D58" s="799">
        <v>19000</v>
      </c>
      <c r="E58" s="799">
        <v>19000</v>
      </c>
    </row>
    <row r="59" spans="1:5" ht="19.5" customHeight="1">
      <c r="A59" s="772"/>
      <c r="B59" s="784"/>
      <c r="C59" s="799"/>
      <c r="D59" s="799"/>
      <c r="E59" s="799"/>
    </row>
    <row r="60" spans="1:5" ht="19.5" customHeight="1">
      <c r="A60" s="785" t="s">
        <v>1390</v>
      </c>
      <c r="B60" s="788" t="s">
        <v>1391</v>
      </c>
      <c r="C60" s="802">
        <f>C61+C62</f>
        <v>0</v>
      </c>
      <c r="D60" s="802">
        <f>D61+D62</f>
        <v>0</v>
      </c>
      <c r="E60" s="802"/>
    </row>
    <row r="61" spans="1:5" ht="19.5" customHeight="1">
      <c r="A61" s="772"/>
      <c r="B61" s="829"/>
      <c r="C61" s="799"/>
      <c r="D61" s="799"/>
      <c r="E61" s="799"/>
    </row>
    <row r="62" spans="1:5" ht="19.5" customHeight="1">
      <c r="A62" s="789"/>
      <c r="B62" s="784"/>
      <c r="C62" s="799"/>
      <c r="D62" s="799"/>
      <c r="E62" s="799"/>
    </row>
    <row r="63" spans="1:5" ht="19.5" customHeight="1">
      <c r="A63" s="785" t="s">
        <v>1392</v>
      </c>
      <c r="B63" s="788" t="s">
        <v>1393</v>
      </c>
      <c r="C63" s="802">
        <f>SUM(C64:C64)</f>
        <v>22438</v>
      </c>
      <c r="D63" s="802">
        <f>SUM(D64:D64)</f>
        <v>37825</v>
      </c>
      <c r="E63" s="802"/>
    </row>
    <row r="64" spans="1:5" ht="19.5" customHeight="1">
      <c r="A64" s="772"/>
      <c r="B64" s="825" t="s">
        <v>774</v>
      </c>
      <c r="C64" s="796">
        <v>22438</v>
      </c>
      <c r="D64" s="796">
        <v>37825</v>
      </c>
      <c r="E64" s="796"/>
    </row>
    <row r="65" spans="1:5" ht="19.5" customHeight="1">
      <c r="A65" s="790" t="s">
        <v>195</v>
      </c>
      <c r="B65" s="791" t="s">
        <v>1394</v>
      </c>
      <c r="C65" s="803">
        <f>SUM(C66:C72)</f>
        <v>0</v>
      </c>
      <c r="D65" s="803">
        <f>SUM(D66:D72)</f>
        <v>4310</v>
      </c>
      <c r="E65" s="803">
        <f>SUM(E66:E72)</f>
        <v>4387</v>
      </c>
    </row>
    <row r="66" spans="1:5" ht="19.5" customHeight="1">
      <c r="A66" s="772"/>
      <c r="B66" s="782" t="s">
        <v>1026</v>
      </c>
      <c r="C66" s="796"/>
      <c r="D66" s="796">
        <v>500</v>
      </c>
      <c r="E66" s="796">
        <v>500</v>
      </c>
    </row>
    <row r="67" spans="1:5" ht="19.5" customHeight="1">
      <c r="A67" s="772"/>
      <c r="B67" s="782" t="s">
        <v>1395</v>
      </c>
      <c r="C67" s="796"/>
      <c r="D67" s="796">
        <v>2100</v>
      </c>
      <c r="E67" s="796">
        <v>2100</v>
      </c>
    </row>
    <row r="68" spans="1:5" ht="19.5" customHeight="1">
      <c r="A68" s="772"/>
      <c r="B68" s="782" t="s">
        <v>1396</v>
      </c>
      <c r="C68" s="796"/>
      <c r="D68" s="796">
        <v>1220</v>
      </c>
      <c r="E68" s="796">
        <v>1220</v>
      </c>
    </row>
    <row r="69" spans="1:5" ht="19.5" customHeight="1">
      <c r="A69" s="772"/>
      <c r="B69" s="782" t="s">
        <v>1397</v>
      </c>
      <c r="C69" s="796"/>
      <c r="D69" s="796">
        <v>295</v>
      </c>
      <c r="E69" s="796">
        <v>295</v>
      </c>
    </row>
    <row r="70" spans="1:5" ht="19.5" customHeight="1">
      <c r="A70" s="772"/>
      <c r="B70" s="782" t="s">
        <v>1406</v>
      </c>
      <c r="C70" s="796"/>
      <c r="D70" s="796"/>
      <c r="E70" s="796">
        <v>77</v>
      </c>
    </row>
    <row r="71" spans="1:5" ht="24">
      <c r="A71" s="772"/>
      <c r="B71" s="835" t="s">
        <v>1404</v>
      </c>
      <c r="C71" s="776"/>
      <c r="D71" s="796">
        <v>40</v>
      </c>
      <c r="E71" s="796">
        <v>40</v>
      </c>
    </row>
    <row r="72" spans="1:5" ht="36">
      <c r="A72" s="772"/>
      <c r="B72" s="835" t="s">
        <v>1405</v>
      </c>
      <c r="C72" s="776"/>
      <c r="D72" s="796">
        <v>155</v>
      </c>
      <c r="E72" s="796">
        <v>155</v>
      </c>
    </row>
    <row r="73" spans="1:5" ht="19.5" customHeight="1">
      <c r="A73" s="790" t="s">
        <v>196</v>
      </c>
      <c r="B73" s="791" t="s">
        <v>1398</v>
      </c>
      <c r="C73" s="803">
        <f>SUM(C74:C76)</f>
        <v>4650</v>
      </c>
      <c r="D73" s="803">
        <f>SUM(D74:D76)</f>
        <v>4650</v>
      </c>
      <c r="E73" s="803">
        <f>SUM(E74:E76)</f>
        <v>170</v>
      </c>
    </row>
    <row r="74" spans="1:5" ht="19.5" customHeight="1">
      <c r="A74" s="772"/>
      <c r="B74" s="829" t="s">
        <v>1399</v>
      </c>
      <c r="C74" s="830">
        <v>4650</v>
      </c>
      <c r="D74" s="830">
        <v>4650</v>
      </c>
      <c r="E74" s="830"/>
    </row>
    <row r="75" spans="1:5" ht="19.5" customHeight="1">
      <c r="A75" s="772"/>
      <c r="B75" s="834" t="s">
        <v>1402</v>
      </c>
      <c r="C75" s="830"/>
      <c r="D75" s="830"/>
      <c r="E75" s="830">
        <v>70</v>
      </c>
    </row>
    <row r="76" spans="1:5" ht="19.5" customHeight="1" thickBot="1">
      <c r="A76" s="773"/>
      <c r="B76" s="834" t="s">
        <v>1403</v>
      </c>
      <c r="C76" s="831"/>
      <c r="D76" s="831"/>
      <c r="E76" s="837">
        <v>100</v>
      </c>
    </row>
    <row r="77" spans="1:5" ht="19.5" customHeight="1" thickBot="1">
      <c r="A77" s="792" t="s">
        <v>11</v>
      </c>
      <c r="B77" s="793" t="s">
        <v>1400</v>
      </c>
      <c r="C77" s="832">
        <f>C4+C46+C65+C73</f>
        <v>275549</v>
      </c>
      <c r="D77" s="832">
        <f>D4+D46+D65+D73</f>
        <v>268414</v>
      </c>
      <c r="E77" s="838">
        <f>E4+E46+E65+E73</f>
        <v>264256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  <headerFooter>
    <oddFooter>&amp;C&amp;P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6"/>
  <sheetViews>
    <sheetView zoomScaleSheetLayoutView="100" workbookViewId="0" topLeftCell="A1">
      <selection activeCell="V149" sqref="V149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902" t="str">
        <f>CONCATENATE("1.1. melléklet ",Z_ALAPADATOK!A7," ",Z_ALAPADATOK!B7," ",Z_ALAPADATOK!C7," ",Z_ALAPADATOK!D7," ",Z_ALAPADATOK!E7," ",Z_ALAPADATOK!F7," ",Z_ALAPADATOK!G7," ",Z_ALAPADATOK!H7)</f>
        <v>1.1. melléklet a … / 2020. ( … ) önkormányzati rendelethez</v>
      </c>
      <c r="C1" s="903"/>
      <c r="D1" s="903"/>
      <c r="E1" s="903"/>
    </row>
    <row r="2" spans="1:5" ht="15.75">
      <c r="A2" s="904" t="str">
        <f>CONCATENATE(Z_ALAPADATOK!A3)</f>
        <v>Bátaszék Város Önkormányzata</v>
      </c>
      <c r="B2" s="905"/>
      <c r="C2" s="905"/>
      <c r="D2" s="905"/>
      <c r="E2" s="905"/>
    </row>
    <row r="3" spans="1:5" ht="15.75">
      <c r="A3" s="904" t="str">
        <f>CONCATENATE(Z_ALAPADATOK!B1,". évi ZÁRSZÁMADÁSÁNAK PÉNZÜGYI MÉRLEGE")</f>
        <v>2019. évi ZÁRSZÁMADÁSÁNAK PÉNZÜGYI MÉRLEGE</v>
      </c>
      <c r="B3" s="904"/>
      <c r="C3" s="906"/>
      <c r="D3" s="904"/>
      <c r="E3" s="904"/>
    </row>
    <row r="4" spans="1:5" ht="12" customHeight="1">
      <c r="A4" s="904"/>
      <c r="B4" s="904"/>
      <c r="C4" s="906"/>
      <c r="D4" s="904"/>
      <c r="E4" s="904"/>
    </row>
    <row r="5" spans="1:5" ht="15.75">
      <c r="A5" s="316"/>
      <c r="B5" s="316"/>
      <c r="C5" s="317"/>
      <c r="D5" s="318"/>
      <c r="E5" s="318"/>
    </row>
    <row r="6" spans="1:5" ht="15.75" customHeight="1">
      <c r="A6" s="916" t="s">
        <v>3</v>
      </c>
      <c r="B6" s="916"/>
      <c r="C6" s="916"/>
      <c r="D6" s="916"/>
      <c r="E6" s="916"/>
    </row>
    <row r="7" spans="1:5" ht="15.75" customHeight="1" thickBot="1">
      <c r="A7" s="918" t="s">
        <v>100</v>
      </c>
      <c r="B7" s="918"/>
      <c r="C7" s="319"/>
      <c r="D7" s="318"/>
      <c r="E7" s="319" t="s">
        <v>1420</v>
      </c>
    </row>
    <row r="8" spans="1:5" ht="15.75">
      <c r="A8" s="908" t="s">
        <v>51</v>
      </c>
      <c r="B8" s="910" t="s">
        <v>5</v>
      </c>
      <c r="C8" s="912" t="str">
        <f>+CONCATENATE(LEFT(Z_ÖSSZEFÜGGÉSEK!A6,4),". évi")</f>
        <v>2019. évi</v>
      </c>
      <c r="D8" s="913"/>
      <c r="E8" s="914"/>
    </row>
    <row r="9" spans="1:5" ht="24.75" thickBot="1">
      <c r="A9" s="909"/>
      <c r="B9" s="911"/>
      <c r="C9" s="249" t="s">
        <v>414</v>
      </c>
      <c r="D9" s="248" t="s">
        <v>415</v>
      </c>
      <c r="E9" s="309" t="str">
        <f>+CONCATENATE(LEFT(Z_ÖSSZEFÜGGÉSEK!A6,4),". XII. 31.",CHAR(10),"teljesítés")</f>
        <v>2019. XII. 31.
teljesítés</v>
      </c>
    </row>
    <row r="10" spans="1:5" s="177" customFormat="1" ht="12" customHeight="1" thickBot="1">
      <c r="A10" s="173" t="s">
        <v>382</v>
      </c>
      <c r="B10" s="174" t="s">
        <v>383</v>
      </c>
      <c r="C10" s="174" t="s">
        <v>384</v>
      </c>
      <c r="D10" s="174" t="s">
        <v>386</v>
      </c>
      <c r="E10" s="250" t="s">
        <v>385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489562</v>
      </c>
      <c r="D11" s="166">
        <f>+D12+D13+D14+D15+D16+D17</f>
        <v>554745</v>
      </c>
      <c r="E11" s="102">
        <f>+E12+E13+E14+E15+E16+E17</f>
        <v>554745</v>
      </c>
    </row>
    <row r="12" spans="1:5" s="178" customFormat="1" ht="12" customHeight="1">
      <c r="A12" s="13" t="s">
        <v>63</v>
      </c>
      <c r="B12" s="179" t="s">
        <v>163</v>
      </c>
      <c r="C12" s="168">
        <v>133820</v>
      </c>
      <c r="D12" s="673">
        <v>138010</v>
      </c>
      <c r="E12" s="678">
        <v>138010</v>
      </c>
    </row>
    <row r="13" spans="1:5" s="178" customFormat="1" ht="12" customHeight="1">
      <c r="A13" s="12" t="s">
        <v>64</v>
      </c>
      <c r="B13" s="180" t="s">
        <v>164</v>
      </c>
      <c r="C13" s="167">
        <v>173418</v>
      </c>
      <c r="D13" s="673">
        <v>179930</v>
      </c>
      <c r="E13" s="679">
        <v>179930</v>
      </c>
    </row>
    <row r="14" spans="1:5" s="178" customFormat="1" ht="12" customHeight="1">
      <c r="A14" s="12" t="s">
        <v>65</v>
      </c>
      <c r="B14" s="180" t="s">
        <v>165</v>
      </c>
      <c r="C14" s="167">
        <v>155004</v>
      </c>
      <c r="D14" s="673">
        <v>172196</v>
      </c>
      <c r="E14" s="679">
        <v>172196</v>
      </c>
    </row>
    <row r="15" spans="1:5" s="178" customFormat="1" ht="12" customHeight="1">
      <c r="A15" s="12" t="s">
        <v>66</v>
      </c>
      <c r="B15" s="180" t="s">
        <v>166</v>
      </c>
      <c r="C15" s="167">
        <v>7910</v>
      </c>
      <c r="D15" s="673">
        <v>10434</v>
      </c>
      <c r="E15" s="679">
        <v>10434</v>
      </c>
    </row>
    <row r="16" spans="1:5" s="178" customFormat="1" ht="12" customHeight="1">
      <c r="A16" s="12" t="s">
        <v>97</v>
      </c>
      <c r="B16" s="110" t="s">
        <v>330</v>
      </c>
      <c r="C16" s="167">
        <v>19410</v>
      </c>
      <c r="D16" s="673">
        <v>54175</v>
      </c>
      <c r="E16" s="679">
        <v>54175</v>
      </c>
    </row>
    <row r="17" spans="1:5" s="178" customFormat="1" ht="12" customHeight="1" thickBot="1">
      <c r="A17" s="14" t="s">
        <v>67</v>
      </c>
      <c r="B17" s="111" t="s">
        <v>331</v>
      </c>
      <c r="C17" s="167"/>
      <c r="D17" s="673">
        <v>0</v>
      </c>
      <c r="E17" s="679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91243</v>
      </c>
      <c r="D18" s="166">
        <f>+D19+D20+D21+D22+D23</f>
        <v>121448</v>
      </c>
      <c r="E18" s="102">
        <f>+E19+E20+E21+E22+E23</f>
        <v>123477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323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324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91243</v>
      </c>
      <c r="D23" s="167">
        <v>121448</v>
      </c>
      <c r="E23" s="103">
        <v>123477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>
        <v>5854</v>
      </c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179656</v>
      </c>
      <c r="D25" s="166">
        <f>+D26+D27+D28+D29+D30</f>
        <v>147389</v>
      </c>
      <c r="E25" s="102">
        <f>+E26+E27+E28+E29+E30</f>
        <v>145605</v>
      </c>
    </row>
    <row r="26" spans="1:5" s="178" customFormat="1" ht="12" customHeight="1">
      <c r="A26" s="13" t="s">
        <v>52</v>
      </c>
      <c r="B26" s="179" t="s">
        <v>173</v>
      </c>
      <c r="C26" s="168"/>
      <c r="D26" s="673">
        <v>9383</v>
      </c>
      <c r="E26" s="104">
        <v>9383</v>
      </c>
    </row>
    <row r="27" spans="1:5" s="178" customFormat="1" ht="12" customHeight="1">
      <c r="A27" s="12" t="s">
        <v>53</v>
      </c>
      <c r="B27" s="180" t="s">
        <v>174</v>
      </c>
      <c r="C27" s="167"/>
      <c r="D27" s="167">
        <v>0</v>
      </c>
      <c r="E27" s="103"/>
    </row>
    <row r="28" spans="1:5" s="178" customFormat="1" ht="12" customHeight="1">
      <c r="A28" s="12" t="s">
        <v>54</v>
      </c>
      <c r="B28" s="180" t="s">
        <v>325</v>
      </c>
      <c r="C28" s="167"/>
      <c r="D28" s="167">
        <v>0</v>
      </c>
      <c r="E28" s="103"/>
    </row>
    <row r="29" spans="1:5" s="178" customFormat="1" ht="12" customHeight="1">
      <c r="A29" s="12" t="s">
        <v>55</v>
      </c>
      <c r="B29" s="180" t="s">
        <v>326</v>
      </c>
      <c r="C29" s="167"/>
      <c r="D29" s="167">
        <v>0</v>
      </c>
      <c r="E29" s="103"/>
    </row>
    <row r="30" spans="1:5" s="178" customFormat="1" ht="12" customHeight="1">
      <c r="A30" s="12" t="s">
        <v>110</v>
      </c>
      <c r="B30" s="180" t="s">
        <v>175</v>
      </c>
      <c r="C30" s="167">
        <v>179656</v>
      </c>
      <c r="D30" s="167">
        <v>138006</v>
      </c>
      <c r="E30" s="103">
        <v>136222</v>
      </c>
    </row>
    <row r="31" spans="1:5" s="178" customFormat="1" ht="12" customHeight="1" thickBot="1">
      <c r="A31" s="14" t="s">
        <v>111</v>
      </c>
      <c r="B31" s="181" t="s">
        <v>176</v>
      </c>
      <c r="C31" s="169">
        <v>125068</v>
      </c>
      <c r="D31" s="169">
        <v>196152</v>
      </c>
      <c r="E31" s="105">
        <v>117222</v>
      </c>
    </row>
    <row r="32" spans="1:5" s="178" customFormat="1" ht="12" customHeight="1" thickBot="1">
      <c r="A32" s="18" t="s">
        <v>112</v>
      </c>
      <c r="B32" s="19" t="s">
        <v>472</v>
      </c>
      <c r="C32" s="172">
        <f>SUM(C33:C39)</f>
        <v>316805</v>
      </c>
      <c r="D32" s="172">
        <f>SUM(D33:D39)</f>
        <v>362805</v>
      </c>
      <c r="E32" s="207">
        <f>SUM(E33:E39)</f>
        <v>363976</v>
      </c>
    </row>
    <row r="33" spans="1:5" s="178" customFormat="1" ht="12" customHeight="1">
      <c r="A33" s="13" t="s">
        <v>177</v>
      </c>
      <c r="B33" s="658" t="s">
        <v>473</v>
      </c>
      <c r="C33" s="168"/>
      <c r="D33" s="168">
        <v>0</v>
      </c>
      <c r="E33" s="104">
        <v>32970</v>
      </c>
    </row>
    <row r="34" spans="1:5" s="178" customFormat="1" ht="12" customHeight="1">
      <c r="A34" s="12" t="s">
        <v>178</v>
      </c>
      <c r="B34" s="659" t="s">
        <v>761</v>
      </c>
      <c r="C34" s="167">
        <v>32000</v>
      </c>
      <c r="D34" s="167">
        <v>32000</v>
      </c>
      <c r="E34" s="103">
        <v>308262</v>
      </c>
    </row>
    <row r="35" spans="1:5" s="178" customFormat="1" ht="12" customHeight="1">
      <c r="A35" s="12" t="s">
        <v>179</v>
      </c>
      <c r="B35" s="659" t="s">
        <v>474</v>
      </c>
      <c r="C35" s="167">
        <v>262000</v>
      </c>
      <c r="D35" s="167">
        <v>308000</v>
      </c>
      <c r="E35" s="103"/>
    </row>
    <row r="36" spans="1:5" s="178" customFormat="1" ht="12" customHeight="1">
      <c r="A36" s="12" t="s">
        <v>180</v>
      </c>
      <c r="B36" s="659" t="s">
        <v>475</v>
      </c>
      <c r="C36" s="167">
        <v>200</v>
      </c>
      <c r="D36" s="167">
        <v>200</v>
      </c>
      <c r="E36" s="103">
        <v>21458</v>
      </c>
    </row>
    <row r="37" spans="1:5" s="178" customFormat="1" ht="12" customHeight="1">
      <c r="A37" s="12" t="s">
        <v>476</v>
      </c>
      <c r="B37" s="659" t="s">
        <v>181</v>
      </c>
      <c r="C37" s="167">
        <v>21000</v>
      </c>
      <c r="D37" s="167">
        <v>21000</v>
      </c>
      <c r="E37" s="103">
        <v>1281</v>
      </c>
    </row>
    <row r="38" spans="1:5" s="178" customFormat="1" ht="12" customHeight="1">
      <c r="A38" s="12" t="s">
        <v>477</v>
      </c>
      <c r="B38" s="659" t="s">
        <v>741</v>
      </c>
      <c r="C38" s="167"/>
      <c r="D38" s="167">
        <v>0</v>
      </c>
      <c r="E38" s="103">
        <v>5</v>
      </c>
    </row>
    <row r="39" spans="1:5" s="178" customFormat="1" ht="12" customHeight="1" thickBot="1">
      <c r="A39" s="14" t="s">
        <v>478</v>
      </c>
      <c r="B39" s="672" t="s">
        <v>762</v>
      </c>
      <c r="C39" s="169">
        <v>1605</v>
      </c>
      <c r="D39" s="169">
        <v>1605</v>
      </c>
      <c r="E39" s="105"/>
    </row>
    <row r="40" spans="1:5" s="178" customFormat="1" ht="12" customHeight="1" thickBot="1">
      <c r="A40" s="18" t="s">
        <v>10</v>
      </c>
      <c r="B40" s="19" t="s">
        <v>332</v>
      </c>
      <c r="C40" s="166">
        <f>SUM(C41:C51)</f>
        <v>245907</v>
      </c>
      <c r="D40" s="166">
        <f>SUM(D41:D51)</f>
        <v>172711</v>
      </c>
      <c r="E40" s="102">
        <f>SUM(E41:E51)</f>
        <v>174405</v>
      </c>
    </row>
    <row r="41" spans="1:5" s="178" customFormat="1" ht="12" customHeight="1">
      <c r="A41" s="13" t="s">
        <v>56</v>
      </c>
      <c r="B41" s="179" t="s">
        <v>184</v>
      </c>
      <c r="C41" s="168">
        <v>15</v>
      </c>
      <c r="D41" s="168">
        <v>21</v>
      </c>
      <c r="E41" s="104">
        <v>16</v>
      </c>
    </row>
    <row r="42" spans="1:5" s="178" customFormat="1" ht="12" customHeight="1">
      <c r="A42" s="12" t="s">
        <v>57</v>
      </c>
      <c r="B42" s="180" t="s">
        <v>185</v>
      </c>
      <c r="C42" s="167">
        <v>15545</v>
      </c>
      <c r="D42" s="167">
        <v>15551</v>
      </c>
      <c r="E42" s="103">
        <v>13532</v>
      </c>
    </row>
    <row r="43" spans="1:5" s="178" customFormat="1" ht="12" customHeight="1">
      <c r="A43" s="12" t="s">
        <v>58</v>
      </c>
      <c r="B43" s="180" t="s">
        <v>186</v>
      </c>
      <c r="C43" s="167">
        <v>2590</v>
      </c>
      <c r="D43" s="167">
        <v>7314</v>
      </c>
      <c r="E43" s="103">
        <v>7466</v>
      </c>
    </row>
    <row r="44" spans="1:5" s="178" customFormat="1" ht="12" customHeight="1">
      <c r="A44" s="12" t="s">
        <v>114</v>
      </c>
      <c r="B44" s="180" t="s">
        <v>187</v>
      </c>
      <c r="C44" s="167">
        <v>8000</v>
      </c>
      <c r="D44" s="167">
        <v>8000</v>
      </c>
      <c r="E44" s="103">
        <v>8514</v>
      </c>
    </row>
    <row r="45" spans="1:5" s="178" customFormat="1" ht="12" customHeight="1">
      <c r="A45" s="12" t="s">
        <v>115</v>
      </c>
      <c r="B45" s="180" t="s">
        <v>188</v>
      </c>
      <c r="C45" s="167"/>
      <c r="D45" s="167">
        <v>0</v>
      </c>
      <c r="E45" s="103"/>
    </row>
    <row r="46" spans="1:5" s="178" customFormat="1" ht="12" customHeight="1">
      <c r="A46" s="12" t="s">
        <v>116</v>
      </c>
      <c r="B46" s="180" t="s">
        <v>189</v>
      </c>
      <c r="C46" s="167">
        <v>4808</v>
      </c>
      <c r="D46" s="167">
        <v>8555</v>
      </c>
      <c r="E46" s="103">
        <v>8479</v>
      </c>
    </row>
    <row r="47" spans="1:5" s="178" customFormat="1" ht="12" customHeight="1">
      <c r="A47" s="12" t="s">
        <v>117</v>
      </c>
      <c r="B47" s="180" t="s">
        <v>190</v>
      </c>
      <c r="C47" s="167">
        <v>214923</v>
      </c>
      <c r="D47" s="167">
        <v>132636</v>
      </c>
      <c r="E47" s="103">
        <v>135736</v>
      </c>
    </row>
    <row r="48" spans="1:5" s="178" customFormat="1" ht="12" customHeight="1">
      <c r="A48" s="12" t="s">
        <v>118</v>
      </c>
      <c r="B48" s="180" t="s">
        <v>479</v>
      </c>
      <c r="C48" s="167">
        <v>1</v>
      </c>
      <c r="D48" s="167">
        <v>1</v>
      </c>
      <c r="E48" s="103">
        <v>11</v>
      </c>
    </row>
    <row r="49" spans="1:5" s="178" customFormat="1" ht="12" customHeight="1">
      <c r="A49" s="12" t="s">
        <v>182</v>
      </c>
      <c r="B49" s="180" t="s">
        <v>192</v>
      </c>
      <c r="C49" s="170"/>
      <c r="D49" s="170">
        <v>1</v>
      </c>
      <c r="E49" s="106"/>
    </row>
    <row r="50" spans="1:5" s="178" customFormat="1" ht="12" customHeight="1">
      <c r="A50" s="14" t="s">
        <v>183</v>
      </c>
      <c r="B50" s="181" t="s">
        <v>334</v>
      </c>
      <c r="C50" s="171"/>
      <c r="D50" s="171">
        <v>597</v>
      </c>
      <c r="E50" s="107">
        <v>597</v>
      </c>
    </row>
    <row r="51" spans="1:5" s="178" customFormat="1" ht="12" customHeight="1" thickBot="1">
      <c r="A51" s="14" t="s">
        <v>333</v>
      </c>
      <c r="B51" s="111" t="s">
        <v>193</v>
      </c>
      <c r="C51" s="171">
        <v>25</v>
      </c>
      <c r="D51" s="171">
        <v>35</v>
      </c>
      <c r="E51" s="107">
        <v>54</v>
      </c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14513</v>
      </c>
      <c r="E52" s="102">
        <f>SUM(E53:E57)</f>
        <v>14513</v>
      </c>
    </row>
    <row r="53" spans="1:5" s="178" customFormat="1" ht="12" customHeight="1">
      <c r="A53" s="13" t="s">
        <v>59</v>
      </c>
      <c r="B53" s="179" t="s">
        <v>198</v>
      </c>
      <c r="C53" s="218"/>
      <c r="D53" s="218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/>
    </row>
    <row r="55" spans="1:5" s="178" customFormat="1" ht="12" customHeight="1">
      <c r="A55" s="12" t="s">
        <v>195</v>
      </c>
      <c r="B55" s="180" t="s">
        <v>200</v>
      </c>
      <c r="C55" s="170"/>
      <c r="D55" s="170">
        <v>14513</v>
      </c>
      <c r="E55" s="106">
        <v>14513</v>
      </c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4310</v>
      </c>
      <c r="E58" s="102">
        <f>SUM(E59:E61)</f>
        <v>4387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327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>
        <v>4310</v>
      </c>
      <c r="E61" s="103">
        <v>4387</v>
      </c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4650</v>
      </c>
      <c r="D63" s="166">
        <f>SUM(D64:D66)</f>
        <v>4650</v>
      </c>
      <c r="E63" s="102">
        <f>SUM(E64:E66)</f>
        <v>170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328</v>
      </c>
      <c r="C65" s="170"/>
      <c r="D65" s="170"/>
      <c r="E65" s="106">
        <v>70</v>
      </c>
    </row>
    <row r="66" spans="1:5" s="178" customFormat="1" ht="12" customHeight="1">
      <c r="A66" s="12" t="s">
        <v>144</v>
      </c>
      <c r="B66" s="180" t="s">
        <v>212</v>
      </c>
      <c r="C66" s="170">
        <v>4650</v>
      </c>
      <c r="D66" s="170">
        <v>4650</v>
      </c>
      <c r="E66" s="106">
        <v>100</v>
      </c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374</v>
      </c>
      <c r="B68" s="19" t="s">
        <v>214</v>
      </c>
      <c r="C68" s="172">
        <f>+C11+C18+C25+C32+C40+C52+C58+C63</f>
        <v>1327823</v>
      </c>
      <c r="D68" s="172">
        <f>+D11+D18+D25+D32+D40+D52+D58+D63</f>
        <v>1382571</v>
      </c>
      <c r="E68" s="207">
        <f>+E11+E18+E25+E32+E40+E52+E58+E63</f>
        <v>1381278</v>
      </c>
    </row>
    <row r="69" spans="1:5" s="178" customFormat="1" ht="12" customHeight="1" thickBot="1">
      <c r="A69" s="219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243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252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253</v>
      </c>
      <c r="B72" s="228" t="s">
        <v>359</v>
      </c>
      <c r="C72" s="170"/>
      <c r="D72" s="170"/>
      <c r="E72" s="106"/>
    </row>
    <row r="73" spans="1:5" s="178" customFormat="1" ht="12" customHeight="1" thickBot="1">
      <c r="A73" s="219" t="s">
        <v>219</v>
      </c>
      <c r="B73" s="109" t="s">
        <v>220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221</v>
      </c>
      <c r="C74" s="170"/>
      <c r="D74" s="170"/>
      <c r="E74" s="106"/>
    </row>
    <row r="75" spans="1:5" s="178" customFormat="1" ht="12" customHeight="1">
      <c r="A75" s="12" t="s">
        <v>99</v>
      </c>
      <c r="B75" s="307" t="s">
        <v>485</v>
      </c>
      <c r="C75" s="170"/>
      <c r="D75" s="170"/>
      <c r="E75" s="106"/>
    </row>
    <row r="76" spans="1:5" s="178" customFormat="1" ht="12" customHeight="1">
      <c r="A76" s="12" t="s">
        <v>244</v>
      </c>
      <c r="B76" s="307" t="s">
        <v>222</v>
      </c>
      <c r="C76" s="170"/>
      <c r="D76" s="170"/>
      <c r="E76" s="106"/>
    </row>
    <row r="77" spans="1:5" s="178" customFormat="1" ht="12" customHeight="1" thickBot="1">
      <c r="A77" s="14" t="s">
        <v>245</v>
      </c>
      <c r="B77" s="308" t="s">
        <v>486</v>
      </c>
      <c r="C77" s="170"/>
      <c r="D77" s="170"/>
      <c r="E77" s="106"/>
    </row>
    <row r="78" spans="1:5" s="178" customFormat="1" ht="12" customHeight="1" thickBot="1">
      <c r="A78" s="219" t="s">
        <v>223</v>
      </c>
      <c r="B78" s="109" t="s">
        <v>224</v>
      </c>
      <c r="C78" s="166">
        <f>SUM(C79:C80)</f>
        <v>876390</v>
      </c>
      <c r="D78" s="166">
        <f>SUM(D79:D80)</f>
        <v>876435</v>
      </c>
      <c r="E78" s="102">
        <f>SUM(E79:E80)</f>
        <v>876435</v>
      </c>
    </row>
    <row r="79" spans="1:5" s="178" customFormat="1" ht="12" customHeight="1">
      <c r="A79" s="13" t="s">
        <v>246</v>
      </c>
      <c r="B79" s="179" t="s">
        <v>225</v>
      </c>
      <c r="C79" s="170">
        <v>876390</v>
      </c>
      <c r="D79" s="170">
        <v>876435</v>
      </c>
      <c r="E79" s="106">
        <v>876435</v>
      </c>
    </row>
    <row r="80" spans="1:5" s="178" customFormat="1" ht="12" customHeight="1" thickBot="1">
      <c r="A80" s="14" t="s">
        <v>247</v>
      </c>
      <c r="B80" s="111" t="s">
        <v>226</v>
      </c>
      <c r="C80" s="170"/>
      <c r="D80" s="170"/>
      <c r="E80" s="106"/>
    </row>
    <row r="81" spans="1:5" s="178" customFormat="1" ht="12" customHeight="1" thickBot="1">
      <c r="A81" s="219" t="s">
        <v>227</v>
      </c>
      <c r="B81" s="109" t="s">
        <v>228</v>
      </c>
      <c r="C81" s="166">
        <f>SUM(C82:C84)</f>
        <v>0</v>
      </c>
      <c r="D81" s="166">
        <f>SUM(D82:D84)</f>
        <v>18636</v>
      </c>
      <c r="E81" s="102">
        <f>SUM(E82:E84)</f>
        <v>18636</v>
      </c>
    </row>
    <row r="82" spans="1:5" s="178" customFormat="1" ht="12" customHeight="1">
      <c r="A82" s="13" t="s">
        <v>248</v>
      </c>
      <c r="B82" s="179" t="s">
        <v>229</v>
      </c>
      <c r="C82" s="170"/>
      <c r="D82" s="170"/>
      <c r="E82" s="106"/>
    </row>
    <row r="83" spans="1:5" s="178" customFormat="1" ht="12" customHeight="1">
      <c r="A83" s="12" t="s">
        <v>249</v>
      </c>
      <c r="B83" s="180" t="s">
        <v>230</v>
      </c>
      <c r="C83" s="170"/>
      <c r="D83" s="170">
        <v>18636</v>
      </c>
      <c r="E83" s="106">
        <v>18636</v>
      </c>
    </row>
    <row r="84" spans="1:5" s="178" customFormat="1" ht="12" customHeight="1" thickBot="1">
      <c r="A84" s="14" t="s">
        <v>250</v>
      </c>
      <c r="B84" s="111" t="s">
        <v>487</v>
      </c>
      <c r="C84" s="170"/>
      <c r="D84" s="170"/>
      <c r="E84" s="106"/>
    </row>
    <row r="85" spans="1:5" s="178" customFormat="1" ht="12" customHeight="1" thickBot="1">
      <c r="A85" s="219" t="s">
        <v>231</v>
      </c>
      <c r="B85" s="109" t="s">
        <v>251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2" t="s">
        <v>232</v>
      </c>
      <c r="B86" s="179" t="s">
        <v>233</v>
      </c>
      <c r="C86" s="170"/>
      <c r="D86" s="170"/>
      <c r="E86" s="106"/>
    </row>
    <row r="87" spans="1:5" s="178" customFormat="1" ht="12" customHeight="1">
      <c r="A87" s="183" t="s">
        <v>234</v>
      </c>
      <c r="B87" s="180" t="s">
        <v>235</v>
      </c>
      <c r="C87" s="170"/>
      <c r="D87" s="170"/>
      <c r="E87" s="106"/>
    </row>
    <row r="88" spans="1:5" s="178" customFormat="1" ht="12" customHeight="1">
      <c r="A88" s="183" t="s">
        <v>236</v>
      </c>
      <c r="B88" s="180" t="s">
        <v>237</v>
      </c>
      <c r="C88" s="170"/>
      <c r="D88" s="170"/>
      <c r="E88" s="106"/>
    </row>
    <row r="89" spans="1:5" s="178" customFormat="1" ht="12" customHeight="1" thickBot="1">
      <c r="A89" s="184" t="s">
        <v>238</v>
      </c>
      <c r="B89" s="111" t="s">
        <v>239</v>
      </c>
      <c r="C89" s="170"/>
      <c r="D89" s="170"/>
      <c r="E89" s="106"/>
    </row>
    <row r="90" spans="1:5" s="178" customFormat="1" ht="12" customHeight="1" thickBot="1">
      <c r="A90" s="219" t="s">
        <v>240</v>
      </c>
      <c r="B90" s="109" t="s">
        <v>373</v>
      </c>
      <c r="C90" s="221"/>
      <c r="D90" s="221"/>
      <c r="E90" s="222"/>
    </row>
    <row r="91" spans="1:5" s="178" customFormat="1" ht="13.5" customHeight="1" thickBot="1">
      <c r="A91" s="219" t="s">
        <v>242</v>
      </c>
      <c r="B91" s="109" t="s">
        <v>241</v>
      </c>
      <c r="C91" s="221"/>
      <c r="D91" s="221"/>
      <c r="E91" s="222"/>
    </row>
    <row r="92" spans="1:5" s="178" customFormat="1" ht="15.75" customHeight="1" thickBot="1">
      <c r="A92" s="219" t="s">
        <v>254</v>
      </c>
      <c r="B92" s="185" t="s">
        <v>376</v>
      </c>
      <c r="C92" s="172">
        <f>+C69+C73+C78+C81+C85+C91+C90</f>
        <v>876390</v>
      </c>
      <c r="D92" s="172">
        <f>+D69+D73+D78+D81+D85+D91+D90</f>
        <v>895071</v>
      </c>
      <c r="E92" s="207">
        <f>+E69+E73+E78+E81+E85+E91+E90</f>
        <v>895071</v>
      </c>
    </row>
    <row r="93" spans="1:5" s="178" customFormat="1" ht="25.5" customHeight="1" thickBot="1">
      <c r="A93" s="220" t="s">
        <v>375</v>
      </c>
      <c r="B93" s="186" t="s">
        <v>377</v>
      </c>
      <c r="C93" s="172">
        <f>+C68+C92</f>
        <v>2204213</v>
      </c>
      <c r="D93" s="172">
        <f>+D68+D92</f>
        <v>2277642</v>
      </c>
      <c r="E93" s="207">
        <f>+E68+E92</f>
        <v>2276349</v>
      </c>
    </row>
    <row r="94" spans="1:3" s="178" customFormat="1" ht="15" customHeight="1">
      <c r="A94" s="3"/>
      <c r="B94" s="4"/>
      <c r="C94" s="113"/>
    </row>
    <row r="95" spans="1:5" ht="16.5" customHeight="1">
      <c r="A95" s="917" t="s">
        <v>34</v>
      </c>
      <c r="B95" s="917"/>
      <c r="C95" s="917"/>
      <c r="D95" s="917"/>
      <c r="E95" s="917"/>
    </row>
    <row r="96" spans="1:5" s="187" customFormat="1" ht="16.5" customHeight="1" thickBot="1">
      <c r="A96" s="919" t="s">
        <v>101</v>
      </c>
      <c r="B96" s="919"/>
      <c r="C96" s="60"/>
      <c r="E96" s="60" t="str">
        <f>E7</f>
        <v>e  Forintban!</v>
      </c>
    </row>
    <row r="97" spans="1:5" ht="15.75">
      <c r="A97" s="908" t="s">
        <v>51</v>
      </c>
      <c r="B97" s="910" t="s">
        <v>416</v>
      </c>
      <c r="C97" s="912" t="str">
        <f>+CONCATENATE(LEFT(Z_ÖSSZEFÜGGÉSEK!A6,4),". évi")</f>
        <v>2019. évi</v>
      </c>
      <c r="D97" s="913"/>
      <c r="E97" s="914"/>
    </row>
    <row r="98" spans="1:5" ht="24.75" thickBot="1">
      <c r="A98" s="909"/>
      <c r="B98" s="911"/>
      <c r="C98" s="249" t="s">
        <v>414</v>
      </c>
      <c r="D98" s="248" t="s">
        <v>415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382</v>
      </c>
      <c r="B99" s="26" t="s">
        <v>383</v>
      </c>
      <c r="C99" s="26" t="s">
        <v>384</v>
      </c>
      <c r="D99" s="26" t="s">
        <v>386</v>
      </c>
      <c r="E99" s="260" t="s">
        <v>385</v>
      </c>
    </row>
    <row r="100" spans="1:5" ht="12" customHeight="1" thickBot="1">
      <c r="A100" s="20" t="s">
        <v>6</v>
      </c>
      <c r="B100" s="24" t="s">
        <v>335</v>
      </c>
      <c r="C100" s="165">
        <f>C101+C102+C103+C104+C105+C118</f>
        <v>1342393</v>
      </c>
      <c r="D100" s="165">
        <f>D101+D102+D103+D104+D105+D118</f>
        <v>1610226</v>
      </c>
      <c r="E100" s="235">
        <f>E101+E102+E103+E104+E105+E118</f>
        <v>1100543</v>
      </c>
    </row>
    <row r="101" spans="1:5" ht="12" customHeight="1">
      <c r="A101" s="15" t="s">
        <v>63</v>
      </c>
      <c r="B101" s="8" t="s">
        <v>35</v>
      </c>
      <c r="C101" s="242">
        <v>177288</v>
      </c>
      <c r="D101" s="674">
        <v>175307</v>
      </c>
      <c r="E101" s="236">
        <v>173375</v>
      </c>
    </row>
    <row r="102" spans="1:5" ht="12" customHeight="1">
      <c r="A102" s="12" t="s">
        <v>64</v>
      </c>
      <c r="B102" s="6" t="s">
        <v>122</v>
      </c>
      <c r="C102" s="167">
        <v>33247</v>
      </c>
      <c r="D102" s="673">
        <v>32211</v>
      </c>
      <c r="E102" s="103">
        <v>32149</v>
      </c>
    </row>
    <row r="103" spans="1:5" ht="12" customHeight="1">
      <c r="A103" s="12" t="s">
        <v>65</v>
      </c>
      <c r="B103" s="6" t="s">
        <v>90</v>
      </c>
      <c r="C103" s="169">
        <v>464611</v>
      </c>
      <c r="D103" s="675">
        <v>324571</v>
      </c>
      <c r="E103" s="105">
        <v>311742</v>
      </c>
    </row>
    <row r="104" spans="1:5" ht="12" customHeight="1">
      <c r="A104" s="12" t="s">
        <v>66</v>
      </c>
      <c r="B104" s="9" t="s">
        <v>123</v>
      </c>
      <c r="C104" s="169">
        <v>24631</v>
      </c>
      <c r="D104" s="675">
        <v>16020</v>
      </c>
      <c r="E104" s="105">
        <v>12287</v>
      </c>
    </row>
    <row r="105" spans="1:5" ht="12" customHeight="1">
      <c r="A105" s="12" t="s">
        <v>75</v>
      </c>
      <c r="B105" s="17" t="s">
        <v>124</v>
      </c>
      <c r="C105" s="169">
        <v>550477</v>
      </c>
      <c r="D105" s="675">
        <v>576001</v>
      </c>
      <c r="E105" s="105">
        <v>570990</v>
      </c>
    </row>
    <row r="106" spans="1:5" ht="12" customHeight="1">
      <c r="A106" s="12" t="s">
        <v>67</v>
      </c>
      <c r="B106" s="6" t="s">
        <v>340</v>
      </c>
      <c r="C106" s="169"/>
      <c r="D106" s="675">
        <v>0</v>
      </c>
      <c r="E106" s="105"/>
    </row>
    <row r="107" spans="1:5" ht="12" customHeight="1">
      <c r="A107" s="12" t="s">
        <v>68</v>
      </c>
      <c r="B107" s="64" t="s">
        <v>339</v>
      </c>
      <c r="C107" s="169"/>
      <c r="D107" s="675">
        <v>0</v>
      </c>
      <c r="E107" s="105"/>
    </row>
    <row r="108" spans="1:5" ht="12" customHeight="1">
      <c r="A108" s="12" t="s">
        <v>76</v>
      </c>
      <c r="B108" s="64" t="s">
        <v>338</v>
      </c>
      <c r="C108" s="169"/>
      <c r="D108" s="675">
        <v>1324</v>
      </c>
      <c r="E108" s="105">
        <v>1324</v>
      </c>
    </row>
    <row r="109" spans="1:5" ht="12" customHeight="1">
      <c r="A109" s="12" t="s">
        <v>77</v>
      </c>
      <c r="B109" s="62" t="s">
        <v>257</v>
      </c>
      <c r="C109" s="169"/>
      <c r="D109" s="675">
        <v>0</v>
      </c>
      <c r="E109" s="105"/>
    </row>
    <row r="110" spans="1:5" ht="12" customHeight="1">
      <c r="A110" s="12" t="s">
        <v>78</v>
      </c>
      <c r="B110" s="63" t="s">
        <v>258</v>
      </c>
      <c r="C110" s="169"/>
      <c r="D110" s="675">
        <v>0</v>
      </c>
      <c r="E110" s="105"/>
    </row>
    <row r="111" spans="1:5" ht="12" customHeight="1">
      <c r="A111" s="12" t="s">
        <v>79</v>
      </c>
      <c r="B111" s="63" t="s">
        <v>259</v>
      </c>
      <c r="C111" s="169"/>
      <c r="D111" s="675">
        <v>0</v>
      </c>
      <c r="E111" s="105"/>
    </row>
    <row r="112" spans="1:5" ht="12" customHeight="1">
      <c r="A112" s="12" t="s">
        <v>81</v>
      </c>
      <c r="B112" s="62" t="s">
        <v>260</v>
      </c>
      <c r="C112" s="169">
        <v>387334</v>
      </c>
      <c r="D112" s="675">
        <v>388553</v>
      </c>
      <c r="E112" s="105">
        <v>388298</v>
      </c>
    </row>
    <row r="113" spans="1:5" ht="12" customHeight="1">
      <c r="A113" s="12" t="s">
        <v>125</v>
      </c>
      <c r="B113" s="62" t="s">
        <v>261</v>
      </c>
      <c r="C113" s="169"/>
      <c r="D113" s="675">
        <v>0</v>
      </c>
      <c r="E113" s="105"/>
    </row>
    <row r="114" spans="1:5" ht="12" customHeight="1">
      <c r="A114" s="12" t="s">
        <v>255</v>
      </c>
      <c r="B114" s="63" t="s">
        <v>262</v>
      </c>
      <c r="C114" s="169"/>
      <c r="D114" s="675">
        <v>0</v>
      </c>
      <c r="E114" s="105"/>
    </row>
    <row r="115" spans="1:5" ht="12" customHeight="1">
      <c r="A115" s="11" t="s">
        <v>256</v>
      </c>
      <c r="B115" s="64" t="s">
        <v>263</v>
      </c>
      <c r="C115" s="169"/>
      <c r="D115" s="675">
        <v>0</v>
      </c>
      <c r="E115" s="105"/>
    </row>
    <row r="116" spans="1:5" ht="12" customHeight="1">
      <c r="A116" s="12" t="s">
        <v>336</v>
      </c>
      <c r="B116" s="64" t="s">
        <v>264</v>
      </c>
      <c r="C116" s="169"/>
      <c r="D116" s="675">
        <v>0</v>
      </c>
      <c r="E116" s="105"/>
    </row>
    <row r="117" spans="1:5" ht="12" customHeight="1">
      <c r="A117" s="14" t="s">
        <v>337</v>
      </c>
      <c r="B117" s="64" t="s">
        <v>265</v>
      </c>
      <c r="C117" s="169">
        <v>163143</v>
      </c>
      <c r="D117" s="675">
        <v>186124</v>
      </c>
      <c r="E117" s="105">
        <v>181368</v>
      </c>
    </row>
    <row r="118" spans="1:5" ht="12" customHeight="1">
      <c r="A118" s="12" t="s">
        <v>341</v>
      </c>
      <c r="B118" s="9" t="s">
        <v>36</v>
      </c>
      <c r="C118" s="167">
        <v>92139</v>
      </c>
      <c r="D118" s="676">
        <v>486116</v>
      </c>
      <c r="E118" s="103"/>
    </row>
    <row r="119" spans="1:5" ht="12" customHeight="1">
      <c r="A119" s="12" t="s">
        <v>342</v>
      </c>
      <c r="B119" s="6" t="s">
        <v>344</v>
      </c>
      <c r="C119" s="167">
        <v>15044</v>
      </c>
      <c r="D119" s="676">
        <v>132123</v>
      </c>
      <c r="E119" s="103"/>
    </row>
    <row r="120" spans="1:5" ht="12" customHeight="1" thickBot="1">
      <c r="A120" s="16" t="s">
        <v>343</v>
      </c>
      <c r="B120" s="231" t="s">
        <v>345</v>
      </c>
      <c r="C120" s="243">
        <v>77095</v>
      </c>
      <c r="D120" s="677">
        <v>353993</v>
      </c>
      <c r="E120" s="237"/>
    </row>
    <row r="121" spans="1:5" ht="12" customHeight="1" thickBot="1">
      <c r="A121" s="229" t="s">
        <v>7</v>
      </c>
      <c r="B121" s="230" t="s">
        <v>266</v>
      </c>
      <c r="C121" s="244">
        <f>+C122+C124+C126</f>
        <v>845314</v>
      </c>
      <c r="D121" s="166">
        <f>+D122+D124+D126</f>
        <v>650886</v>
      </c>
      <c r="E121" s="238">
        <f>+E122+E124+E126</f>
        <v>648445</v>
      </c>
    </row>
    <row r="122" spans="1:5" ht="12" customHeight="1">
      <c r="A122" s="13" t="s">
        <v>69</v>
      </c>
      <c r="B122" s="6" t="s">
        <v>143</v>
      </c>
      <c r="C122" s="168">
        <v>784105</v>
      </c>
      <c r="D122" s="253">
        <v>540455</v>
      </c>
      <c r="E122" s="104">
        <v>539888</v>
      </c>
    </row>
    <row r="123" spans="1:5" ht="12" customHeight="1">
      <c r="A123" s="13" t="s">
        <v>70</v>
      </c>
      <c r="B123" s="10" t="s">
        <v>270</v>
      </c>
      <c r="C123" s="168">
        <v>733570</v>
      </c>
      <c r="D123" s="253">
        <v>480041</v>
      </c>
      <c r="E123" s="104"/>
    </row>
    <row r="124" spans="1:5" ht="12" customHeight="1">
      <c r="A124" s="13" t="s">
        <v>71</v>
      </c>
      <c r="B124" s="10" t="s">
        <v>126</v>
      </c>
      <c r="C124" s="167">
        <v>53367</v>
      </c>
      <c r="D124" s="254">
        <v>68844</v>
      </c>
      <c r="E124" s="103">
        <v>67742</v>
      </c>
    </row>
    <row r="125" spans="1:5" ht="12" customHeight="1">
      <c r="A125" s="13" t="s">
        <v>72</v>
      </c>
      <c r="B125" s="10" t="s">
        <v>271</v>
      </c>
      <c r="C125" s="167"/>
      <c r="D125" s="254">
        <v>0</v>
      </c>
      <c r="E125" s="103"/>
    </row>
    <row r="126" spans="1:5" ht="12" customHeight="1">
      <c r="A126" s="13" t="s">
        <v>73</v>
      </c>
      <c r="B126" s="111" t="s">
        <v>145</v>
      </c>
      <c r="C126" s="167">
        <v>7842</v>
      </c>
      <c r="D126" s="254">
        <v>41587</v>
      </c>
      <c r="E126" s="103">
        <v>40815</v>
      </c>
    </row>
    <row r="127" spans="1:5" ht="12" customHeight="1">
      <c r="A127" s="13" t="s">
        <v>80</v>
      </c>
      <c r="B127" s="110" t="s">
        <v>329</v>
      </c>
      <c r="C127" s="167"/>
      <c r="D127" s="254">
        <v>0</v>
      </c>
      <c r="E127" s="103"/>
    </row>
    <row r="128" spans="1:5" ht="12" customHeight="1">
      <c r="A128" s="13" t="s">
        <v>82</v>
      </c>
      <c r="B128" s="175" t="s">
        <v>276</v>
      </c>
      <c r="C128" s="167"/>
      <c r="D128" s="254">
        <v>0</v>
      </c>
      <c r="E128" s="103"/>
    </row>
    <row r="129" spans="1:5" ht="15.75">
      <c r="A129" s="13" t="s">
        <v>127</v>
      </c>
      <c r="B129" s="63" t="s">
        <v>259</v>
      </c>
      <c r="C129" s="167"/>
      <c r="D129" s="254">
        <v>0</v>
      </c>
      <c r="E129" s="103"/>
    </row>
    <row r="130" spans="1:5" ht="12" customHeight="1">
      <c r="A130" s="13" t="s">
        <v>128</v>
      </c>
      <c r="B130" s="63" t="s">
        <v>275</v>
      </c>
      <c r="C130" s="167">
        <v>5396</v>
      </c>
      <c r="D130" s="254">
        <v>3763</v>
      </c>
      <c r="E130" s="103">
        <v>3763</v>
      </c>
    </row>
    <row r="131" spans="1:5" ht="12" customHeight="1">
      <c r="A131" s="13" t="s">
        <v>129</v>
      </c>
      <c r="B131" s="63" t="s">
        <v>274</v>
      </c>
      <c r="C131" s="167"/>
      <c r="D131" s="254">
        <v>0</v>
      </c>
      <c r="E131" s="103"/>
    </row>
    <row r="132" spans="1:5" ht="12" customHeight="1">
      <c r="A132" s="13" t="s">
        <v>267</v>
      </c>
      <c r="B132" s="63" t="s">
        <v>262</v>
      </c>
      <c r="C132" s="167"/>
      <c r="D132" s="254">
        <v>0</v>
      </c>
      <c r="E132" s="103"/>
    </row>
    <row r="133" spans="1:5" ht="12" customHeight="1">
      <c r="A133" s="13" t="s">
        <v>268</v>
      </c>
      <c r="B133" s="63" t="s">
        <v>273</v>
      </c>
      <c r="C133" s="167"/>
      <c r="D133" s="254">
        <v>0</v>
      </c>
      <c r="E133" s="103"/>
    </row>
    <row r="134" spans="1:5" ht="16.5" thickBot="1">
      <c r="A134" s="11" t="s">
        <v>269</v>
      </c>
      <c r="B134" s="63" t="s">
        <v>272</v>
      </c>
      <c r="C134" s="169">
        <v>2446</v>
      </c>
      <c r="D134" s="255">
        <v>37824</v>
      </c>
      <c r="E134" s="105">
        <v>37052</v>
      </c>
    </row>
    <row r="135" spans="1:5" ht="12" customHeight="1" thickBot="1">
      <c r="A135" s="18" t="s">
        <v>8</v>
      </c>
      <c r="B135" s="56" t="s">
        <v>346</v>
      </c>
      <c r="C135" s="166">
        <f>+C100+C121</f>
        <v>2187707</v>
      </c>
      <c r="D135" s="252">
        <f>+D100+D121</f>
        <v>2261112</v>
      </c>
      <c r="E135" s="102">
        <f>+E100+E121</f>
        <v>1748988</v>
      </c>
    </row>
    <row r="136" spans="1:5" ht="12" customHeight="1" thickBot="1">
      <c r="A136" s="18" t="s">
        <v>9</v>
      </c>
      <c r="B136" s="56" t="s">
        <v>417</v>
      </c>
      <c r="C136" s="166">
        <f>+C137+C138+C139</f>
        <v>0</v>
      </c>
      <c r="D136" s="252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354</v>
      </c>
      <c r="C137" s="167"/>
      <c r="D137" s="254"/>
      <c r="E137" s="103"/>
    </row>
    <row r="138" spans="1:5" ht="12" customHeight="1">
      <c r="A138" s="13" t="s">
        <v>178</v>
      </c>
      <c r="B138" s="10" t="s">
        <v>355</v>
      </c>
      <c r="C138" s="167"/>
      <c r="D138" s="254"/>
      <c r="E138" s="103"/>
    </row>
    <row r="139" spans="1:5" ht="12" customHeight="1" thickBot="1">
      <c r="A139" s="11" t="s">
        <v>179</v>
      </c>
      <c r="B139" s="10" t="s">
        <v>356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348</v>
      </c>
      <c r="C140" s="166">
        <f>SUM(C141:C146)</f>
        <v>0</v>
      </c>
      <c r="D140" s="252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357</v>
      </c>
      <c r="C141" s="167"/>
      <c r="D141" s="254"/>
      <c r="E141" s="103"/>
    </row>
    <row r="142" spans="1:5" ht="12" customHeight="1">
      <c r="A142" s="13" t="s">
        <v>57</v>
      </c>
      <c r="B142" s="7" t="s">
        <v>349</v>
      </c>
      <c r="C142" s="167"/>
      <c r="D142" s="254"/>
      <c r="E142" s="103"/>
    </row>
    <row r="143" spans="1:5" ht="12" customHeight="1">
      <c r="A143" s="13" t="s">
        <v>58</v>
      </c>
      <c r="B143" s="7" t="s">
        <v>350</v>
      </c>
      <c r="C143" s="167"/>
      <c r="D143" s="254"/>
      <c r="E143" s="103"/>
    </row>
    <row r="144" spans="1:5" ht="12" customHeight="1">
      <c r="A144" s="13" t="s">
        <v>114</v>
      </c>
      <c r="B144" s="7" t="s">
        <v>351</v>
      </c>
      <c r="C144" s="167"/>
      <c r="D144" s="254"/>
      <c r="E144" s="103"/>
    </row>
    <row r="145" spans="1:5" ht="12" customHeight="1">
      <c r="A145" s="13" t="s">
        <v>115</v>
      </c>
      <c r="B145" s="7" t="s">
        <v>352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353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361</v>
      </c>
      <c r="C147" s="172">
        <f>+C148+C149+C150+C151</f>
        <v>16506</v>
      </c>
      <c r="D147" s="256">
        <f>+D148+D149+D150+D151</f>
        <v>16530</v>
      </c>
      <c r="E147" s="207">
        <f>+E148+E149+E150+E151</f>
        <v>16530</v>
      </c>
    </row>
    <row r="148" spans="1:5" ht="12" customHeight="1">
      <c r="A148" s="13" t="s">
        <v>59</v>
      </c>
      <c r="B148" s="7" t="s">
        <v>277</v>
      </c>
      <c r="C148" s="167"/>
      <c r="D148" s="254"/>
      <c r="E148" s="103"/>
    </row>
    <row r="149" spans="1:5" ht="12" customHeight="1">
      <c r="A149" s="13" t="s">
        <v>60</v>
      </c>
      <c r="B149" s="7" t="s">
        <v>278</v>
      </c>
      <c r="C149" s="167">
        <v>16506</v>
      </c>
      <c r="D149" s="254">
        <v>16530</v>
      </c>
      <c r="E149" s="103">
        <v>16530</v>
      </c>
    </row>
    <row r="150" spans="1:5" ht="12" customHeight="1">
      <c r="A150" s="13" t="s">
        <v>195</v>
      </c>
      <c r="B150" s="7" t="s">
        <v>362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294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363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358</v>
      </c>
      <c r="C153" s="167"/>
      <c r="D153" s="254"/>
      <c r="E153" s="103"/>
    </row>
    <row r="154" spans="1:5" ht="12" customHeight="1">
      <c r="A154" s="13" t="s">
        <v>62</v>
      </c>
      <c r="B154" s="7" t="s">
        <v>365</v>
      </c>
      <c r="C154" s="167"/>
      <c r="D154" s="254"/>
      <c r="E154" s="103"/>
    </row>
    <row r="155" spans="1:5" ht="12" customHeight="1">
      <c r="A155" s="13" t="s">
        <v>207</v>
      </c>
      <c r="B155" s="7" t="s">
        <v>360</v>
      </c>
      <c r="C155" s="167"/>
      <c r="D155" s="254"/>
      <c r="E155" s="103"/>
    </row>
    <row r="156" spans="1:5" ht="12" customHeight="1">
      <c r="A156" s="13" t="s">
        <v>208</v>
      </c>
      <c r="B156" s="7" t="s">
        <v>366</v>
      </c>
      <c r="C156" s="167"/>
      <c r="D156" s="254"/>
      <c r="E156" s="103"/>
    </row>
    <row r="157" spans="1:5" ht="12" customHeight="1" thickBot="1">
      <c r="A157" s="13" t="s">
        <v>364</v>
      </c>
      <c r="B157" s="7" t="s">
        <v>367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368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369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371</v>
      </c>
      <c r="C160" s="247">
        <f>+C136+C140+C147+C152+C158+C159</f>
        <v>16506</v>
      </c>
      <c r="D160" s="259">
        <f>+D136+D140+D147+D152+D158+D159</f>
        <v>16530</v>
      </c>
      <c r="E160" s="241">
        <f>+E136+E140+E147+E152+E158+E159</f>
        <v>16530</v>
      </c>
      <c r="F160" s="188"/>
      <c r="G160" s="189"/>
      <c r="H160" s="189"/>
      <c r="I160" s="189"/>
    </row>
    <row r="161" spans="1:5" s="178" customFormat="1" ht="12.75" customHeight="1" thickBot="1">
      <c r="A161" s="112" t="s">
        <v>16</v>
      </c>
      <c r="B161" s="153" t="s">
        <v>370</v>
      </c>
      <c r="C161" s="247">
        <f>+C135+C160</f>
        <v>2204213</v>
      </c>
      <c r="D161" s="259">
        <f>+D135+D160</f>
        <v>2277642</v>
      </c>
      <c r="E161" s="241">
        <f>+E135+E160</f>
        <v>1765518</v>
      </c>
    </row>
    <row r="162" spans="3:4" ht="15.75">
      <c r="C162" s="592">
        <f>C93-C161</f>
        <v>0</v>
      </c>
      <c r="D162" s="592">
        <f>D93-D161</f>
        <v>0</v>
      </c>
    </row>
    <row r="163" spans="1:5" ht="15.75">
      <c r="A163" s="915" t="s">
        <v>279</v>
      </c>
      <c r="B163" s="915"/>
      <c r="C163" s="915"/>
      <c r="D163" s="915"/>
      <c r="E163" s="915"/>
    </row>
    <row r="164" spans="1:5" ht="15" customHeight="1" thickBot="1">
      <c r="A164" s="907" t="s">
        <v>102</v>
      </c>
      <c r="B164" s="907"/>
      <c r="C164" s="114"/>
      <c r="E164" s="114" t="str">
        <f>E96</f>
        <v>e  Forintban!</v>
      </c>
    </row>
    <row r="165" spans="1:5" ht="25.5" customHeight="1" thickBot="1">
      <c r="A165" s="18">
        <v>1</v>
      </c>
      <c r="B165" s="23" t="s">
        <v>372</v>
      </c>
      <c r="C165" s="251">
        <f>+C68-C135</f>
        <v>-859884</v>
      </c>
      <c r="D165" s="166">
        <f>+D68-D135</f>
        <v>-878541</v>
      </c>
      <c r="E165" s="102">
        <f>+E68-E135</f>
        <v>-367710</v>
      </c>
    </row>
    <row r="166" spans="1:5" ht="32.25" customHeight="1" thickBot="1">
      <c r="A166" s="18" t="s">
        <v>7</v>
      </c>
      <c r="B166" s="23" t="s">
        <v>378</v>
      </c>
      <c r="C166" s="166">
        <f>+C92-C160</f>
        <v>859884</v>
      </c>
      <c r="D166" s="166">
        <f>+D92-D160</f>
        <v>878541</v>
      </c>
      <c r="E166" s="102">
        <f>+E92-E160</f>
        <v>878541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2755905511811024" right="0.2755905511811024" top="0.8661417322834646" bottom="0.6692913385826772" header="0" footer="0"/>
  <pageSetup fitToHeight="2" fitToWidth="1" horizontalDpi="600" verticalDpi="600" orientation="portrait" paperSize="9" scale="68" r:id="rId1"/>
  <headerFooter alignWithMargins="0">
    <oddFooter>&amp;C&amp;P</oddFooter>
  </headerFooter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6"/>
  <sheetViews>
    <sheetView zoomScale="95" zoomScaleNormal="95" zoomScaleSheetLayoutView="100" workbookViewId="0" topLeftCell="A73">
      <selection activeCell="E127" sqref="E127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902" t="str">
        <f>CONCATENATE("1.2. melléklet ",Z_ALAPADATOK!A7," ",Z_ALAPADATOK!B7," ",Z_ALAPADATOK!C7," ",Z_ALAPADATOK!D7," ",Z_ALAPADATOK!E7," ",Z_ALAPADATOK!F7," ",Z_ALAPADATOK!G7," ",Z_ALAPADATOK!H7)</f>
        <v>1.2. melléklet a … / 2020. ( … ) önkormányzati rendelethez</v>
      </c>
      <c r="C1" s="903"/>
      <c r="D1" s="903"/>
      <c r="E1" s="903"/>
    </row>
    <row r="2" spans="1:5" ht="15.75">
      <c r="A2" s="904" t="str">
        <f>CONCATENATE(Z_ALAPADATOK!A3)</f>
        <v>Bátaszék Város Önkormányzata</v>
      </c>
      <c r="B2" s="905"/>
      <c r="C2" s="905"/>
      <c r="D2" s="905"/>
      <c r="E2" s="905"/>
    </row>
    <row r="3" spans="1:5" ht="15.75">
      <c r="A3" s="904" t="str">
        <f>CONCATENATE(Z_ALAPADATOK!B1,". ÉVI ZÁRSZÁMADÁS")</f>
        <v>2019. ÉVI ZÁRSZÁMADÁS</v>
      </c>
      <c r="B3" s="904"/>
      <c r="C3" s="906"/>
      <c r="D3" s="904"/>
      <c r="E3" s="904"/>
    </row>
    <row r="4" spans="1:5" ht="17.25" customHeight="1">
      <c r="A4" s="904" t="s">
        <v>734</v>
      </c>
      <c r="B4" s="904"/>
      <c r="C4" s="906"/>
      <c r="D4" s="904"/>
      <c r="E4" s="904"/>
    </row>
    <row r="5" spans="1:5" ht="15.75">
      <c r="A5" s="316"/>
      <c r="B5" s="316"/>
      <c r="C5" s="317"/>
      <c r="D5" s="318"/>
      <c r="E5" s="318"/>
    </row>
    <row r="6" spans="1:5" ht="15.75" customHeight="1">
      <c r="A6" s="916" t="s">
        <v>3</v>
      </c>
      <c r="B6" s="916"/>
      <c r="C6" s="916"/>
      <c r="D6" s="916"/>
      <c r="E6" s="916"/>
    </row>
    <row r="7" spans="1:5" ht="15.75" customHeight="1" thickBot="1">
      <c r="A7" s="918" t="s">
        <v>100</v>
      </c>
      <c r="B7" s="918"/>
      <c r="C7" s="319"/>
      <c r="D7" s="318"/>
      <c r="E7" s="319" t="str">
        <f>CONCATENATE('Z_1.1.sz.mell.'!E7)</f>
        <v>e  Forintban!</v>
      </c>
    </row>
    <row r="8" spans="1:5" ht="15.75">
      <c r="A8" s="908" t="s">
        <v>51</v>
      </c>
      <c r="B8" s="910" t="s">
        <v>5</v>
      </c>
      <c r="C8" s="912" t="str">
        <f>+CONCATENATE(LEFT(Z_ÖSSZEFÜGGÉSEK!A6,4),". évi")</f>
        <v>2019. évi</v>
      </c>
      <c r="D8" s="913"/>
      <c r="E8" s="914"/>
    </row>
    <row r="9" spans="1:5" ht="24.75" thickBot="1">
      <c r="A9" s="909"/>
      <c r="B9" s="911"/>
      <c r="C9" s="249" t="s">
        <v>414</v>
      </c>
      <c r="D9" s="248" t="s">
        <v>415</v>
      </c>
      <c r="E9" s="309" t="str">
        <f>CONCATENATE('Z_1.1.sz.mell.'!E9)</f>
        <v>2019. XII. 31.
teljesítés</v>
      </c>
    </row>
    <row r="10" spans="1:5" s="177" customFormat="1" ht="12" customHeight="1" thickBot="1">
      <c r="A10" s="173" t="s">
        <v>382</v>
      </c>
      <c r="B10" s="174" t="s">
        <v>383</v>
      </c>
      <c r="C10" s="174" t="s">
        <v>384</v>
      </c>
      <c r="D10" s="174" t="s">
        <v>386</v>
      </c>
      <c r="E10" s="250" t="s">
        <v>385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489562</v>
      </c>
      <c r="D11" s="166">
        <f>+D12+D13+D14+D15+D16+D17</f>
        <v>554745</v>
      </c>
      <c r="E11" s="102">
        <f>+E12+E13+E14+E15+E16+E17</f>
        <v>554745</v>
      </c>
    </row>
    <row r="12" spans="1:5" s="178" customFormat="1" ht="12" customHeight="1">
      <c r="A12" s="13" t="s">
        <v>63</v>
      </c>
      <c r="B12" s="179" t="s">
        <v>163</v>
      </c>
      <c r="C12" s="168">
        <v>133820</v>
      </c>
      <c r="D12" s="167">
        <v>138010</v>
      </c>
      <c r="E12" s="167">
        <v>138010</v>
      </c>
    </row>
    <row r="13" spans="1:5" s="178" customFormat="1" ht="12" customHeight="1">
      <c r="A13" s="12" t="s">
        <v>64</v>
      </c>
      <c r="B13" s="180" t="s">
        <v>164</v>
      </c>
      <c r="C13" s="167">
        <v>173418</v>
      </c>
      <c r="D13" s="167">
        <v>179930</v>
      </c>
      <c r="E13" s="167">
        <v>179930</v>
      </c>
    </row>
    <row r="14" spans="1:5" s="178" customFormat="1" ht="12" customHeight="1">
      <c r="A14" s="12" t="s">
        <v>65</v>
      </c>
      <c r="B14" s="180" t="s">
        <v>165</v>
      </c>
      <c r="C14" s="167">
        <v>155004</v>
      </c>
      <c r="D14" s="167">
        <v>172196</v>
      </c>
      <c r="E14" s="167">
        <v>172196</v>
      </c>
    </row>
    <row r="15" spans="1:5" s="178" customFormat="1" ht="12" customHeight="1">
      <c r="A15" s="12" t="s">
        <v>66</v>
      </c>
      <c r="B15" s="180" t="s">
        <v>166</v>
      </c>
      <c r="C15" s="167">
        <v>7910</v>
      </c>
      <c r="D15" s="167">
        <v>10434</v>
      </c>
      <c r="E15" s="167">
        <v>10434</v>
      </c>
    </row>
    <row r="16" spans="1:5" s="178" customFormat="1" ht="12" customHeight="1">
      <c r="A16" s="12" t="s">
        <v>97</v>
      </c>
      <c r="B16" s="110" t="s">
        <v>330</v>
      </c>
      <c r="C16" s="167">
        <v>19410</v>
      </c>
      <c r="D16" s="167">
        <v>54175</v>
      </c>
      <c r="E16" s="167">
        <v>54175</v>
      </c>
    </row>
    <row r="17" spans="1:5" s="178" customFormat="1" ht="12" customHeight="1" thickBot="1">
      <c r="A17" s="14" t="s">
        <v>67</v>
      </c>
      <c r="B17" s="111" t="s">
        <v>331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28349</v>
      </c>
      <c r="D18" s="166">
        <f>+D19+D20+D21+D22+D23</f>
        <v>42110</v>
      </c>
      <c r="E18" s="102">
        <f>+E19+E20+E21+E22+E23</f>
        <v>46436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323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324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28349</v>
      </c>
      <c r="D23" s="167">
        <v>42110</v>
      </c>
      <c r="E23" s="103">
        <v>46436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>
        <v>1023</v>
      </c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86729</v>
      </c>
      <c r="D25" s="166">
        <f>+D26+D27+D28+D29+D30</f>
        <v>36217</v>
      </c>
      <c r="E25" s="102">
        <f>+E26+E27+E28+E29+E30</f>
        <v>31431</v>
      </c>
    </row>
    <row r="26" spans="1:5" s="178" customFormat="1" ht="12" customHeight="1">
      <c r="A26" s="13" t="s">
        <v>52</v>
      </c>
      <c r="B26" s="179" t="s">
        <v>173</v>
      </c>
      <c r="C26" s="168"/>
      <c r="D26" s="168">
        <v>9383</v>
      </c>
      <c r="E26" s="104">
        <v>9383</v>
      </c>
    </row>
    <row r="27" spans="1:5" s="178" customFormat="1" ht="12" customHeight="1">
      <c r="A27" s="12" t="s">
        <v>53</v>
      </c>
      <c r="B27" s="180" t="s">
        <v>174</v>
      </c>
      <c r="C27" s="167"/>
      <c r="D27" s="167">
        <v>0</v>
      </c>
      <c r="E27" s="103"/>
    </row>
    <row r="28" spans="1:5" s="178" customFormat="1" ht="12" customHeight="1">
      <c r="A28" s="12" t="s">
        <v>54</v>
      </c>
      <c r="B28" s="180" t="s">
        <v>325</v>
      </c>
      <c r="C28" s="167"/>
      <c r="D28" s="167">
        <v>0</v>
      </c>
      <c r="E28" s="103"/>
    </row>
    <row r="29" spans="1:5" s="178" customFormat="1" ht="12" customHeight="1">
      <c r="A29" s="12" t="s">
        <v>55</v>
      </c>
      <c r="B29" s="180" t="s">
        <v>326</v>
      </c>
      <c r="C29" s="167"/>
      <c r="D29" s="167">
        <v>0</v>
      </c>
      <c r="E29" s="103"/>
    </row>
    <row r="30" spans="1:5" s="178" customFormat="1" ht="12" customHeight="1">
      <c r="A30" s="12" t="s">
        <v>110</v>
      </c>
      <c r="B30" s="180" t="s">
        <v>175</v>
      </c>
      <c r="C30" s="167">
        <v>86729</v>
      </c>
      <c r="D30" s="167">
        <v>26834</v>
      </c>
      <c r="E30" s="103">
        <v>22048</v>
      </c>
    </row>
    <row r="31" spans="1:5" s="178" customFormat="1" ht="12" customHeight="1" thickBot="1">
      <c r="A31" s="14" t="s">
        <v>111</v>
      </c>
      <c r="B31" s="181" t="s">
        <v>176</v>
      </c>
      <c r="C31" s="169">
        <v>63381</v>
      </c>
      <c r="D31" s="169">
        <v>3486</v>
      </c>
      <c r="E31" s="105"/>
    </row>
    <row r="32" spans="1:5" s="178" customFormat="1" ht="12" customHeight="1" thickBot="1">
      <c r="A32" s="18" t="s">
        <v>112</v>
      </c>
      <c r="B32" s="19" t="s">
        <v>472</v>
      </c>
      <c r="C32" s="172">
        <f>SUM(C33:C39)</f>
        <v>21005</v>
      </c>
      <c r="D32" s="172">
        <f>SUM(D33:D39)</f>
        <v>21005</v>
      </c>
      <c r="E32" s="207">
        <f>SUM(E33:E39)</f>
        <v>21463</v>
      </c>
    </row>
    <row r="33" spans="1:5" s="178" customFormat="1" ht="12" customHeight="1">
      <c r="A33" s="13" t="s">
        <v>177</v>
      </c>
      <c r="B33" s="179" t="str">
        <f>'Z_1.1.sz.mell.'!B33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'Z_1.1.sz.mell.'!B34</f>
        <v>Magánszemélyek kommunális adója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'Z_1.1.sz.mell.'!B35</f>
        <v>Iparűzési adó</v>
      </c>
      <c r="C35" s="167"/>
      <c r="D35" s="167"/>
      <c r="E35" s="103"/>
    </row>
    <row r="36" spans="1:5" s="178" customFormat="1" ht="12" customHeight="1">
      <c r="A36" s="12" t="s">
        <v>180</v>
      </c>
      <c r="B36" s="179" t="str">
        <f>'Z_1.1.sz.mell.'!B36</f>
        <v>Talajterhelési díj</v>
      </c>
      <c r="C36" s="167"/>
      <c r="D36" s="167"/>
      <c r="E36" s="103"/>
    </row>
    <row r="37" spans="1:5" s="178" customFormat="1" ht="12" customHeight="1">
      <c r="A37" s="12" t="s">
        <v>476</v>
      </c>
      <c r="B37" s="179" t="str">
        <f>'Z_1.1.sz.mell.'!B37</f>
        <v>Gépjárműadó</v>
      </c>
      <c r="C37" s="167">
        <v>21000</v>
      </c>
      <c r="D37" s="167">
        <v>21000</v>
      </c>
      <c r="E37" s="103">
        <v>21458</v>
      </c>
    </row>
    <row r="38" spans="1:5" s="178" customFormat="1" ht="12" customHeight="1">
      <c r="A38" s="12" t="s">
        <v>477</v>
      </c>
      <c r="B38" s="179" t="str">
        <f>'Z_1.1.sz.mell.'!B38</f>
        <v>Telekadó</v>
      </c>
      <c r="C38" s="167"/>
      <c r="D38" s="167"/>
      <c r="E38" s="103"/>
    </row>
    <row r="39" spans="1:5" s="178" customFormat="1" ht="12" customHeight="1" thickBot="1">
      <c r="A39" s="14" t="s">
        <v>478</v>
      </c>
      <c r="B39" s="179" t="str">
        <f>'Z_1.1.sz.mell.'!B39</f>
        <v>Egyéb közhatalmi bevételek</v>
      </c>
      <c r="C39" s="169">
        <v>5</v>
      </c>
      <c r="D39" s="169">
        <v>5</v>
      </c>
      <c r="E39" s="105">
        <v>5</v>
      </c>
    </row>
    <row r="40" spans="1:5" s="178" customFormat="1" ht="12" customHeight="1" thickBot="1">
      <c r="A40" s="18" t="s">
        <v>10</v>
      </c>
      <c r="B40" s="19" t="s">
        <v>332</v>
      </c>
      <c r="C40" s="166">
        <f>SUM(C41:C51)</f>
        <v>53138</v>
      </c>
      <c r="D40" s="166">
        <f>SUM(D41:D51)</f>
        <v>53826</v>
      </c>
      <c r="E40" s="102">
        <f>SUM(E41:E51)</f>
        <v>58025</v>
      </c>
    </row>
    <row r="41" spans="1:5" s="178" customFormat="1" ht="12" customHeight="1">
      <c r="A41" s="13" t="s">
        <v>56</v>
      </c>
      <c r="B41" s="179" t="s">
        <v>184</v>
      </c>
      <c r="C41" s="678">
        <v>15</v>
      </c>
      <c r="D41" s="168">
        <v>21</v>
      </c>
      <c r="E41" s="104">
        <v>16</v>
      </c>
    </row>
    <row r="42" spans="1:5" s="178" customFormat="1" ht="12" customHeight="1">
      <c r="A42" s="12" t="s">
        <v>57</v>
      </c>
      <c r="B42" s="180" t="s">
        <v>185</v>
      </c>
      <c r="C42" s="679">
        <v>15545</v>
      </c>
      <c r="D42" s="167">
        <v>15552</v>
      </c>
      <c r="E42" s="103">
        <v>13532</v>
      </c>
    </row>
    <row r="43" spans="1:5" s="178" customFormat="1" ht="12" customHeight="1">
      <c r="A43" s="12" t="s">
        <v>58</v>
      </c>
      <c r="B43" s="180" t="s">
        <v>186</v>
      </c>
      <c r="C43" s="679">
        <v>2090</v>
      </c>
      <c r="D43" s="167">
        <v>2140</v>
      </c>
      <c r="E43" s="103">
        <v>2200</v>
      </c>
    </row>
    <row r="44" spans="1:5" s="178" customFormat="1" ht="12" customHeight="1">
      <c r="A44" s="12" t="s">
        <v>114</v>
      </c>
      <c r="B44" s="180" t="s">
        <v>187</v>
      </c>
      <c r="C44" s="679">
        <v>7950</v>
      </c>
      <c r="D44" s="167">
        <v>7950</v>
      </c>
      <c r="E44" s="103">
        <v>8464</v>
      </c>
    </row>
    <row r="45" spans="1:5" s="178" customFormat="1" ht="12" customHeight="1">
      <c r="A45" s="12" t="s">
        <v>115</v>
      </c>
      <c r="B45" s="180" t="s">
        <v>188</v>
      </c>
      <c r="C45" s="679"/>
      <c r="D45" s="167">
        <v>0</v>
      </c>
      <c r="E45" s="103"/>
    </row>
    <row r="46" spans="1:5" s="178" customFormat="1" ht="12" customHeight="1">
      <c r="A46" s="12" t="s">
        <v>116</v>
      </c>
      <c r="B46" s="180" t="s">
        <v>189</v>
      </c>
      <c r="C46" s="679">
        <v>4674</v>
      </c>
      <c r="D46" s="167">
        <v>4692</v>
      </c>
      <c r="E46" s="103">
        <v>4712</v>
      </c>
    </row>
    <row r="47" spans="1:5" s="178" customFormat="1" ht="12" customHeight="1">
      <c r="A47" s="12" t="s">
        <v>117</v>
      </c>
      <c r="B47" s="180" t="s">
        <v>190</v>
      </c>
      <c r="C47" s="679">
        <v>22838</v>
      </c>
      <c r="D47" s="167">
        <v>22838</v>
      </c>
      <c r="E47" s="103">
        <v>28439</v>
      </c>
    </row>
    <row r="48" spans="1:5" s="178" customFormat="1" ht="12" customHeight="1">
      <c r="A48" s="12" t="s">
        <v>118</v>
      </c>
      <c r="B48" s="180" t="s">
        <v>479</v>
      </c>
      <c r="C48" s="679">
        <v>1</v>
      </c>
      <c r="D48" s="167">
        <v>1</v>
      </c>
      <c r="E48" s="103">
        <v>11</v>
      </c>
    </row>
    <row r="49" spans="1:5" s="178" customFormat="1" ht="12" customHeight="1">
      <c r="A49" s="12" t="s">
        <v>182</v>
      </c>
      <c r="B49" s="180" t="s">
        <v>192</v>
      </c>
      <c r="C49" s="680"/>
      <c r="D49" s="170">
        <v>0</v>
      </c>
      <c r="E49" s="106"/>
    </row>
    <row r="50" spans="1:5" s="178" customFormat="1" ht="12" customHeight="1">
      <c r="A50" s="14" t="s">
        <v>183</v>
      </c>
      <c r="B50" s="181" t="s">
        <v>334</v>
      </c>
      <c r="C50" s="681"/>
      <c r="D50" s="171">
        <v>597</v>
      </c>
      <c r="E50" s="107">
        <v>597</v>
      </c>
    </row>
    <row r="51" spans="1:5" s="178" customFormat="1" ht="12" customHeight="1" thickBot="1">
      <c r="A51" s="14" t="s">
        <v>333</v>
      </c>
      <c r="B51" s="111" t="s">
        <v>193</v>
      </c>
      <c r="C51" s="682">
        <v>25</v>
      </c>
      <c r="D51" s="171">
        <v>35</v>
      </c>
      <c r="E51" s="107">
        <v>54</v>
      </c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59</v>
      </c>
      <c r="B53" s="179" t="s">
        <v>198</v>
      </c>
      <c r="C53" s="218"/>
      <c r="D53" s="218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/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327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328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/>
      <c r="D66" s="170"/>
      <c r="E66" s="106"/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374</v>
      </c>
      <c r="B68" s="19" t="s">
        <v>214</v>
      </c>
      <c r="C68" s="172">
        <f>+C11+C18+C25+C32+C40+C52+C58+C63</f>
        <v>678783</v>
      </c>
      <c r="D68" s="172">
        <f>+D11+D18+D25+D32+D40+D52+D58+D63</f>
        <v>707903</v>
      </c>
      <c r="E68" s="207">
        <f>+E11+E18+E25+E32+E40+E52+E58+E63</f>
        <v>712100</v>
      </c>
    </row>
    <row r="69" spans="1:5" s="178" customFormat="1" ht="12" customHeight="1" thickBot="1">
      <c r="A69" s="219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243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252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253</v>
      </c>
      <c r="B72" s="228" t="s">
        <v>359</v>
      </c>
      <c r="C72" s="170"/>
      <c r="D72" s="170"/>
      <c r="E72" s="106"/>
    </row>
    <row r="73" spans="1:5" s="178" customFormat="1" ht="12" customHeight="1" thickBot="1">
      <c r="A73" s="219" t="s">
        <v>219</v>
      </c>
      <c r="B73" s="109" t="s">
        <v>220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221</v>
      </c>
      <c r="C74" s="170"/>
      <c r="D74" s="170"/>
      <c r="E74" s="106"/>
    </row>
    <row r="75" spans="1:5" s="178" customFormat="1" ht="12" customHeight="1">
      <c r="A75" s="12" t="s">
        <v>99</v>
      </c>
      <c r="B75" s="307" t="s">
        <v>485</v>
      </c>
      <c r="C75" s="170"/>
      <c r="D75" s="170"/>
      <c r="E75" s="106"/>
    </row>
    <row r="76" spans="1:5" s="178" customFormat="1" ht="12" customHeight="1">
      <c r="A76" s="12" t="s">
        <v>244</v>
      </c>
      <c r="B76" s="307" t="s">
        <v>222</v>
      </c>
      <c r="C76" s="170"/>
      <c r="D76" s="170"/>
      <c r="E76" s="106"/>
    </row>
    <row r="77" spans="1:5" s="178" customFormat="1" ht="12" customHeight="1" thickBot="1">
      <c r="A77" s="14" t="s">
        <v>245</v>
      </c>
      <c r="B77" s="308" t="s">
        <v>486</v>
      </c>
      <c r="C77" s="170"/>
      <c r="D77" s="170"/>
      <c r="E77" s="106"/>
    </row>
    <row r="78" spans="1:5" s="178" customFormat="1" ht="12" customHeight="1" thickBot="1">
      <c r="A78" s="219" t="s">
        <v>223</v>
      </c>
      <c r="B78" s="109" t="s">
        <v>224</v>
      </c>
      <c r="C78" s="166">
        <f>SUM(C79:C80)</f>
        <v>0</v>
      </c>
      <c r="D78" s="166">
        <f>SUM(D79:D80)</f>
        <v>0</v>
      </c>
      <c r="E78" s="102">
        <f>SUM(E79:E80)</f>
        <v>0</v>
      </c>
    </row>
    <row r="79" spans="1:5" s="178" customFormat="1" ht="12" customHeight="1">
      <c r="A79" s="13" t="s">
        <v>246</v>
      </c>
      <c r="B79" s="179" t="s">
        <v>225</v>
      </c>
      <c r="C79" s="170"/>
      <c r="D79" s="170"/>
      <c r="E79" s="106"/>
    </row>
    <row r="80" spans="1:5" s="178" customFormat="1" ht="12" customHeight="1" thickBot="1">
      <c r="A80" s="14" t="s">
        <v>247</v>
      </c>
      <c r="B80" s="111" t="s">
        <v>226</v>
      </c>
      <c r="C80" s="170"/>
      <c r="D80" s="170"/>
      <c r="E80" s="106"/>
    </row>
    <row r="81" spans="1:5" s="178" customFormat="1" ht="12" customHeight="1" thickBot="1">
      <c r="A81" s="219" t="s">
        <v>227</v>
      </c>
      <c r="B81" s="109" t="s">
        <v>228</v>
      </c>
      <c r="C81" s="166">
        <f>SUM(C82:C84)</f>
        <v>0</v>
      </c>
      <c r="D81" s="166">
        <f>SUM(D82:D84)</f>
        <v>18636</v>
      </c>
      <c r="E81" s="102">
        <f>SUM(E82:E84)</f>
        <v>18636</v>
      </c>
    </row>
    <row r="82" spans="1:5" s="178" customFormat="1" ht="12" customHeight="1">
      <c r="A82" s="13" t="s">
        <v>248</v>
      </c>
      <c r="B82" s="179" t="s">
        <v>229</v>
      </c>
      <c r="C82" s="170"/>
      <c r="D82" s="170">
        <v>18636</v>
      </c>
      <c r="E82" s="106">
        <v>18636</v>
      </c>
    </row>
    <row r="83" spans="1:5" s="178" customFormat="1" ht="12" customHeight="1">
      <c r="A83" s="12" t="s">
        <v>249</v>
      </c>
      <c r="B83" s="180" t="s">
        <v>230</v>
      </c>
      <c r="C83" s="170"/>
      <c r="D83" s="170"/>
      <c r="E83" s="106"/>
    </row>
    <row r="84" spans="1:5" s="178" customFormat="1" ht="12" customHeight="1" thickBot="1">
      <c r="A84" s="14" t="s">
        <v>250</v>
      </c>
      <c r="B84" s="111" t="s">
        <v>487</v>
      </c>
      <c r="C84" s="170"/>
      <c r="D84" s="170"/>
      <c r="E84" s="106"/>
    </row>
    <row r="85" spans="1:5" s="178" customFormat="1" ht="12" customHeight="1" thickBot="1">
      <c r="A85" s="219" t="s">
        <v>231</v>
      </c>
      <c r="B85" s="109" t="s">
        <v>251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2" t="s">
        <v>232</v>
      </c>
      <c r="B86" s="179" t="s">
        <v>233</v>
      </c>
      <c r="C86" s="170"/>
      <c r="D86" s="170"/>
      <c r="E86" s="106"/>
    </row>
    <row r="87" spans="1:5" s="178" customFormat="1" ht="12" customHeight="1">
      <c r="A87" s="183" t="s">
        <v>234</v>
      </c>
      <c r="B87" s="180" t="s">
        <v>235</v>
      </c>
      <c r="C87" s="170"/>
      <c r="D87" s="170"/>
      <c r="E87" s="106"/>
    </row>
    <row r="88" spans="1:5" s="178" customFormat="1" ht="12" customHeight="1">
      <c r="A88" s="183" t="s">
        <v>236</v>
      </c>
      <c r="B88" s="180" t="s">
        <v>237</v>
      </c>
      <c r="C88" s="170"/>
      <c r="D88" s="170"/>
      <c r="E88" s="106"/>
    </row>
    <row r="89" spans="1:5" s="178" customFormat="1" ht="12" customHeight="1" thickBot="1">
      <c r="A89" s="184" t="s">
        <v>238</v>
      </c>
      <c r="B89" s="111" t="s">
        <v>239</v>
      </c>
      <c r="C89" s="170"/>
      <c r="D89" s="170"/>
      <c r="E89" s="106"/>
    </row>
    <row r="90" spans="1:5" s="178" customFormat="1" ht="12" customHeight="1" thickBot="1">
      <c r="A90" s="219" t="s">
        <v>240</v>
      </c>
      <c r="B90" s="109" t="s">
        <v>373</v>
      </c>
      <c r="C90" s="221"/>
      <c r="D90" s="221"/>
      <c r="E90" s="222"/>
    </row>
    <row r="91" spans="1:5" s="178" customFormat="1" ht="13.5" customHeight="1" thickBot="1">
      <c r="A91" s="219" t="s">
        <v>242</v>
      </c>
      <c r="B91" s="109" t="s">
        <v>241</v>
      </c>
      <c r="C91" s="221"/>
      <c r="D91" s="221"/>
      <c r="E91" s="222"/>
    </row>
    <row r="92" spans="1:5" s="178" customFormat="1" ht="15.75" customHeight="1" thickBot="1">
      <c r="A92" s="219" t="s">
        <v>254</v>
      </c>
      <c r="B92" s="185" t="s">
        <v>376</v>
      </c>
      <c r="C92" s="172">
        <f>+C69+C73+C78+C81+C85+C91+C90</f>
        <v>0</v>
      </c>
      <c r="D92" s="172">
        <f>+D69+D73+D78+D81+D85+D91+D90</f>
        <v>18636</v>
      </c>
      <c r="E92" s="207">
        <f>+E69+E73+E78+E81+E85+E91+E90</f>
        <v>18636</v>
      </c>
    </row>
    <row r="93" spans="1:5" s="178" customFormat="1" ht="25.5" customHeight="1" thickBot="1">
      <c r="A93" s="220" t="s">
        <v>375</v>
      </c>
      <c r="B93" s="186" t="s">
        <v>377</v>
      </c>
      <c r="C93" s="172">
        <f>+C68+C92</f>
        <v>678783</v>
      </c>
      <c r="D93" s="172">
        <f>+D68+D92</f>
        <v>726539</v>
      </c>
      <c r="E93" s="207">
        <f>+E68+E92</f>
        <v>730736</v>
      </c>
    </row>
    <row r="94" spans="1:3" s="178" customFormat="1" ht="15" customHeight="1">
      <c r="A94" s="3"/>
      <c r="B94" s="4"/>
      <c r="C94" s="113"/>
    </row>
    <row r="95" spans="1:5" ht="16.5" customHeight="1">
      <c r="A95" s="917" t="s">
        <v>34</v>
      </c>
      <c r="B95" s="917"/>
      <c r="C95" s="917"/>
      <c r="D95" s="917"/>
      <c r="E95" s="917"/>
    </row>
    <row r="96" spans="1:5" s="187" customFormat="1" ht="16.5" customHeight="1" thickBot="1">
      <c r="A96" s="919" t="s">
        <v>101</v>
      </c>
      <c r="B96" s="919"/>
      <c r="C96" s="60"/>
      <c r="E96" s="60" t="str">
        <f>E7</f>
        <v>e  Forintban!</v>
      </c>
    </row>
    <row r="97" spans="1:5" ht="15.75">
      <c r="A97" s="908" t="s">
        <v>51</v>
      </c>
      <c r="B97" s="910" t="s">
        <v>416</v>
      </c>
      <c r="C97" s="912" t="str">
        <f>+CONCATENATE(LEFT(Z_ÖSSZEFÜGGÉSEK!A6,4),". évi")</f>
        <v>2019. évi</v>
      </c>
      <c r="D97" s="913"/>
      <c r="E97" s="914"/>
    </row>
    <row r="98" spans="1:5" ht="24.75" thickBot="1">
      <c r="A98" s="909"/>
      <c r="B98" s="911"/>
      <c r="C98" s="249" t="s">
        <v>414</v>
      </c>
      <c r="D98" s="248" t="s">
        <v>415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382</v>
      </c>
      <c r="B99" s="26" t="s">
        <v>383</v>
      </c>
      <c r="C99" s="26" t="s">
        <v>384</v>
      </c>
      <c r="D99" s="26" t="s">
        <v>386</v>
      </c>
      <c r="E99" s="260" t="s">
        <v>385</v>
      </c>
    </row>
    <row r="100" spans="1:5" ht="12" customHeight="1" thickBot="1">
      <c r="A100" s="20" t="s">
        <v>6</v>
      </c>
      <c r="B100" s="24" t="s">
        <v>335</v>
      </c>
      <c r="C100" s="165">
        <f>C101+C102+C103+C104+C105+C118</f>
        <v>549329</v>
      </c>
      <c r="D100" s="165">
        <f>D101+D102+D103+D104+D105+D118</f>
        <v>657291</v>
      </c>
      <c r="E100" s="235">
        <f>E101+E102+E103+E104+E105+E118</f>
        <v>471641</v>
      </c>
    </row>
    <row r="101" spans="1:5" ht="12" customHeight="1">
      <c r="A101" s="15" t="s">
        <v>63</v>
      </c>
      <c r="B101" s="8" t="s">
        <v>35</v>
      </c>
      <c r="C101" s="683">
        <v>162589</v>
      </c>
      <c r="D101" s="242">
        <v>158607</v>
      </c>
      <c r="E101" s="236">
        <v>159388</v>
      </c>
    </row>
    <row r="102" spans="1:5" ht="12" customHeight="1">
      <c r="A102" s="12" t="s">
        <v>64</v>
      </c>
      <c r="B102" s="6" t="s">
        <v>122</v>
      </c>
      <c r="C102" s="679">
        <v>31814</v>
      </c>
      <c r="D102" s="167">
        <v>30189</v>
      </c>
      <c r="E102" s="103">
        <v>30634</v>
      </c>
    </row>
    <row r="103" spans="1:5" ht="12" customHeight="1">
      <c r="A103" s="12" t="s">
        <v>65</v>
      </c>
      <c r="B103" s="6" t="s">
        <v>90</v>
      </c>
      <c r="C103" s="684">
        <v>168545</v>
      </c>
      <c r="D103" s="169">
        <v>165658</v>
      </c>
      <c r="E103" s="105">
        <v>159316</v>
      </c>
    </row>
    <row r="104" spans="1:5" ht="12" customHeight="1">
      <c r="A104" s="12" t="s">
        <v>66</v>
      </c>
      <c r="B104" s="9" t="s">
        <v>123</v>
      </c>
      <c r="C104" s="684"/>
      <c r="D104" s="169">
        <v>0</v>
      </c>
      <c r="E104" s="105"/>
    </row>
    <row r="105" spans="1:5" ht="12" customHeight="1">
      <c r="A105" s="12" t="s">
        <v>75</v>
      </c>
      <c r="B105" s="17" t="s">
        <v>124</v>
      </c>
      <c r="C105" s="684">
        <v>113152</v>
      </c>
      <c r="D105" s="169">
        <v>128899</v>
      </c>
      <c r="E105" s="105">
        <v>122303</v>
      </c>
    </row>
    <row r="106" spans="1:5" ht="12" customHeight="1">
      <c r="A106" s="12" t="s">
        <v>67</v>
      </c>
      <c r="B106" s="6" t="s">
        <v>340</v>
      </c>
      <c r="C106" s="684"/>
      <c r="D106" s="169"/>
      <c r="E106" s="105"/>
    </row>
    <row r="107" spans="1:5" ht="12" customHeight="1">
      <c r="A107" s="12" t="s">
        <v>68</v>
      </c>
      <c r="B107" s="64" t="s">
        <v>339</v>
      </c>
      <c r="C107" s="684"/>
      <c r="D107" s="169">
        <v>0</v>
      </c>
      <c r="E107" s="105"/>
    </row>
    <row r="108" spans="1:5" ht="12" customHeight="1">
      <c r="A108" s="12" t="s">
        <v>76</v>
      </c>
      <c r="B108" s="64" t="s">
        <v>338</v>
      </c>
      <c r="C108" s="684"/>
      <c r="D108" s="169">
        <v>1324</v>
      </c>
      <c r="E108" s="105">
        <v>1324</v>
      </c>
    </row>
    <row r="109" spans="1:5" ht="12" customHeight="1">
      <c r="A109" s="12" t="s">
        <v>77</v>
      </c>
      <c r="B109" s="62" t="s">
        <v>257</v>
      </c>
      <c r="C109" s="684"/>
      <c r="D109" s="169">
        <v>0</v>
      </c>
      <c r="E109" s="105"/>
    </row>
    <row r="110" spans="1:5" ht="12" customHeight="1">
      <c r="A110" s="12" t="s">
        <v>78</v>
      </c>
      <c r="B110" s="63" t="s">
        <v>258</v>
      </c>
      <c r="C110" s="684"/>
      <c r="D110" s="169">
        <v>0</v>
      </c>
      <c r="E110" s="105"/>
    </row>
    <row r="111" spans="1:5" ht="12" customHeight="1">
      <c r="A111" s="12" t="s">
        <v>79</v>
      </c>
      <c r="B111" s="63" t="s">
        <v>259</v>
      </c>
      <c r="C111" s="684"/>
      <c r="D111" s="169">
        <v>0</v>
      </c>
      <c r="E111" s="105"/>
    </row>
    <row r="112" spans="1:5" ht="12" customHeight="1">
      <c r="A112" s="12" t="s">
        <v>81</v>
      </c>
      <c r="B112" s="62" t="s">
        <v>260</v>
      </c>
      <c r="C112" s="684">
        <v>5707</v>
      </c>
      <c r="D112" s="169">
        <v>7345</v>
      </c>
      <c r="E112" s="105">
        <v>5505</v>
      </c>
    </row>
    <row r="113" spans="1:5" ht="12" customHeight="1">
      <c r="A113" s="12" t="s">
        <v>125</v>
      </c>
      <c r="B113" s="62" t="s">
        <v>261</v>
      </c>
      <c r="C113" s="684"/>
      <c r="D113" s="169">
        <v>0</v>
      </c>
      <c r="E113" s="105"/>
    </row>
    <row r="114" spans="1:5" ht="12" customHeight="1">
      <c r="A114" s="12" t="s">
        <v>255</v>
      </c>
      <c r="B114" s="63" t="s">
        <v>262</v>
      </c>
      <c r="C114" s="684"/>
      <c r="D114" s="169">
        <v>0</v>
      </c>
      <c r="E114" s="105"/>
    </row>
    <row r="115" spans="1:5" ht="12" customHeight="1">
      <c r="A115" s="11" t="s">
        <v>256</v>
      </c>
      <c r="B115" s="64" t="s">
        <v>263</v>
      </c>
      <c r="C115" s="684"/>
      <c r="D115" s="169">
        <v>0</v>
      </c>
      <c r="E115" s="105"/>
    </row>
    <row r="116" spans="1:5" ht="12" customHeight="1">
      <c r="A116" s="12" t="s">
        <v>336</v>
      </c>
      <c r="B116" s="64" t="s">
        <v>264</v>
      </c>
      <c r="C116" s="684"/>
      <c r="D116" s="169">
        <v>0</v>
      </c>
      <c r="E116" s="105"/>
    </row>
    <row r="117" spans="1:5" ht="12" customHeight="1">
      <c r="A117" s="14" t="s">
        <v>337</v>
      </c>
      <c r="B117" s="64" t="s">
        <v>265</v>
      </c>
      <c r="C117" s="684">
        <v>107445</v>
      </c>
      <c r="D117" s="169">
        <v>120230</v>
      </c>
      <c r="E117" s="105">
        <v>115474</v>
      </c>
    </row>
    <row r="118" spans="1:5" ht="12" customHeight="1">
      <c r="A118" s="12" t="s">
        <v>341</v>
      </c>
      <c r="B118" s="9" t="s">
        <v>36</v>
      </c>
      <c r="C118" s="679">
        <v>73229</v>
      </c>
      <c r="D118" s="167">
        <v>173938</v>
      </c>
      <c r="E118" s="103"/>
    </row>
    <row r="119" spans="1:5" ht="12" customHeight="1">
      <c r="A119" s="12" t="s">
        <v>342</v>
      </c>
      <c r="B119" s="6" t="s">
        <v>344</v>
      </c>
      <c r="C119" s="679">
        <v>15044</v>
      </c>
      <c r="D119" s="167">
        <v>127569</v>
      </c>
      <c r="E119" s="103"/>
    </row>
    <row r="120" spans="1:5" ht="12" customHeight="1" thickBot="1">
      <c r="A120" s="16" t="s">
        <v>343</v>
      </c>
      <c r="B120" s="231" t="s">
        <v>345</v>
      </c>
      <c r="C120" s="685">
        <v>58185</v>
      </c>
      <c r="D120" s="243">
        <v>46369</v>
      </c>
      <c r="E120" s="237"/>
    </row>
    <row r="121" spans="1:5" ht="12" customHeight="1" thickBot="1">
      <c r="A121" s="229" t="s">
        <v>7</v>
      </c>
      <c r="B121" s="230" t="s">
        <v>266</v>
      </c>
      <c r="C121" s="244">
        <f>+C122+C124+C126</f>
        <v>161601</v>
      </c>
      <c r="D121" s="166">
        <f>+D122+D124+D126</f>
        <v>130044</v>
      </c>
      <c r="E121" s="238">
        <f>+E122+E124+E126</f>
        <v>128051</v>
      </c>
    </row>
    <row r="122" spans="1:5" ht="12" customHeight="1">
      <c r="A122" s="13" t="s">
        <v>69</v>
      </c>
      <c r="B122" s="6" t="s">
        <v>143</v>
      </c>
      <c r="C122" s="678">
        <v>108607</v>
      </c>
      <c r="D122" s="253">
        <v>60896</v>
      </c>
      <c r="E122" s="104">
        <v>59847</v>
      </c>
    </row>
    <row r="123" spans="1:5" ht="12" customHeight="1">
      <c r="A123" s="13" t="s">
        <v>70</v>
      </c>
      <c r="B123" s="10" t="s">
        <v>270</v>
      </c>
      <c r="C123" s="678">
        <v>82072</v>
      </c>
      <c r="D123" s="253">
        <v>101663</v>
      </c>
      <c r="E123" s="104"/>
    </row>
    <row r="124" spans="1:5" ht="12" customHeight="1">
      <c r="A124" s="13" t="s">
        <v>71</v>
      </c>
      <c r="B124" s="10" t="s">
        <v>126</v>
      </c>
      <c r="C124" s="679">
        <v>51367</v>
      </c>
      <c r="D124" s="254">
        <v>68692</v>
      </c>
      <c r="E124" s="103">
        <v>67742</v>
      </c>
    </row>
    <row r="125" spans="1:5" ht="12" customHeight="1">
      <c r="A125" s="13" t="s">
        <v>72</v>
      </c>
      <c r="B125" s="10" t="s">
        <v>271</v>
      </c>
      <c r="C125" s="679"/>
      <c r="D125" s="254">
        <v>0</v>
      </c>
      <c r="E125" s="103"/>
    </row>
    <row r="126" spans="1:5" ht="12" customHeight="1">
      <c r="A126" s="13" t="s">
        <v>73</v>
      </c>
      <c r="B126" s="111" t="s">
        <v>145</v>
      </c>
      <c r="C126" s="679">
        <v>1627</v>
      </c>
      <c r="D126" s="254">
        <v>456</v>
      </c>
      <c r="E126" s="103">
        <v>462</v>
      </c>
    </row>
    <row r="127" spans="1:5" ht="12" customHeight="1">
      <c r="A127" s="13" t="s">
        <v>80</v>
      </c>
      <c r="B127" s="110" t="s">
        <v>329</v>
      </c>
      <c r="C127" s="679"/>
      <c r="D127" s="254">
        <v>0</v>
      </c>
      <c r="E127" s="103"/>
    </row>
    <row r="128" spans="1:5" ht="12" customHeight="1">
      <c r="A128" s="13" t="s">
        <v>82</v>
      </c>
      <c r="B128" s="175" t="s">
        <v>276</v>
      </c>
      <c r="C128" s="679"/>
      <c r="D128" s="254">
        <v>0</v>
      </c>
      <c r="E128" s="103"/>
    </row>
    <row r="129" spans="1:5" ht="15.75">
      <c r="A129" s="13" t="s">
        <v>127</v>
      </c>
      <c r="B129" s="63" t="s">
        <v>259</v>
      </c>
      <c r="C129" s="679"/>
      <c r="D129" s="254">
        <v>0</v>
      </c>
      <c r="E129" s="103"/>
    </row>
    <row r="130" spans="1:5" ht="12" customHeight="1">
      <c r="A130" s="13" t="s">
        <v>128</v>
      </c>
      <c r="B130" s="63" t="s">
        <v>275</v>
      </c>
      <c r="C130" s="679">
        <v>1627</v>
      </c>
      <c r="D130" s="254"/>
      <c r="E130" s="103"/>
    </row>
    <row r="131" spans="1:5" ht="12" customHeight="1">
      <c r="A131" s="13" t="s">
        <v>129</v>
      </c>
      <c r="B131" s="63" t="s">
        <v>274</v>
      </c>
      <c r="C131" s="167"/>
      <c r="D131" s="254">
        <v>0</v>
      </c>
      <c r="E131" s="103"/>
    </row>
    <row r="132" spans="1:5" ht="12" customHeight="1">
      <c r="A132" s="13" t="s">
        <v>267</v>
      </c>
      <c r="B132" s="63" t="s">
        <v>262</v>
      </c>
      <c r="C132" s="167"/>
      <c r="D132" s="254">
        <v>0</v>
      </c>
      <c r="E132" s="103"/>
    </row>
    <row r="133" spans="1:5" ht="12" customHeight="1">
      <c r="A133" s="13" t="s">
        <v>268</v>
      </c>
      <c r="B133" s="63" t="s">
        <v>273</v>
      </c>
      <c r="C133" s="167"/>
      <c r="D133" s="254">
        <v>0</v>
      </c>
      <c r="E133" s="103"/>
    </row>
    <row r="134" spans="1:5" ht="16.5" thickBot="1">
      <c r="A134" s="11" t="s">
        <v>269</v>
      </c>
      <c r="B134" s="63" t="s">
        <v>272</v>
      </c>
      <c r="C134" s="169"/>
      <c r="D134" s="255">
        <v>462</v>
      </c>
      <c r="E134" s="105">
        <v>462</v>
      </c>
    </row>
    <row r="135" spans="1:5" ht="12" customHeight="1" thickBot="1">
      <c r="A135" s="18" t="s">
        <v>8</v>
      </c>
      <c r="B135" s="56" t="s">
        <v>346</v>
      </c>
      <c r="C135" s="166">
        <f>+C100+C121</f>
        <v>710930</v>
      </c>
      <c r="D135" s="252">
        <f>+D100+D121</f>
        <v>787335</v>
      </c>
      <c r="E135" s="102">
        <f>+E100+E121</f>
        <v>599692</v>
      </c>
    </row>
    <row r="136" spans="1:5" ht="12" customHeight="1" thickBot="1">
      <c r="A136" s="18" t="s">
        <v>9</v>
      </c>
      <c r="B136" s="56" t="s">
        <v>417</v>
      </c>
      <c r="C136" s="166">
        <f>+C137+C138+C139</f>
        <v>0</v>
      </c>
      <c r="D136" s="252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354</v>
      </c>
      <c r="C137" s="167"/>
      <c r="D137" s="254"/>
      <c r="E137" s="103"/>
    </row>
    <row r="138" spans="1:5" ht="12" customHeight="1">
      <c r="A138" s="13" t="s">
        <v>178</v>
      </c>
      <c r="B138" s="10" t="s">
        <v>355</v>
      </c>
      <c r="C138" s="167"/>
      <c r="D138" s="254"/>
      <c r="E138" s="103"/>
    </row>
    <row r="139" spans="1:5" ht="12" customHeight="1" thickBot="1">
      <c r="A139" s="11" t="s">
        <v>179</v>
      </c>
      <c r="B139" s="10" t="s">
        <v>356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348</v>
      </c>
      <c r="C140" s="166">
        <f>SUM(C141:C146)</f>
        <v>0</v>
      </c>
      <c r="D140" s="252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357</v>
      </c>
      <c r="C141" s="167"/>
      <c r="D141" s="254"/>
      <c r="E141" s="103"/>
    </row>
    <row r="142" spans="1:5" ht="12" customHeight="1">
      <c r="A142" s="13" t="s">
        <v>57</v>
      </c>
      <c r="B142" s="7" t="s">
        <v>349</v>
      </c>
      <c r="C142" s="167"/>
      <c r="D142" s="254"/>
      <c r="E142" s="103"/>
    </row>
    <row r="143" spans="1:5" ht="12" customHeight="1">
      <c r="A143" s="13" t="s">
        <v>58</v>
      </c>
      <c r="B143" s="7" t="s">
        <v>350</v>
      </c>
      <c r="C143" s="167"/>
      <c r="D143" s="254"/>
      <c r="E143" s="103"/>
    </row>
    <row r="144" spans="1:5" ht="12" customHeight="1">
      <c r="A144" s="13" t="s">
        <v>114</v>
      </c>
      <c r="B144" s="7" t="s">
        <v>351</v>
      </c>
      <c r="C144" s="167"/>
      <c r="D144" s="254"/>
      <c r="E144" s="103"/>
    </row>
    <row r="145" spans="1:5" ht="12" customHeight="1">
      <c r="A145" s="13" t="s">
        <v>115</v>
      </c>
      <c r="B145" s="7" t="s">
        <v>352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353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361</v>
      </c>
      <c r="C147" s="172">
        <f>+C148+C149+C150+C151</f>
        <v>16506</v>
      </c>
      <c r="D147" s="256">
        <f>+D148+D149+D150+D151</f>
        <v>16530</v>
      </c>
      <c r="E147" s="207">
        <f>+E148+E149+E150+E151</f>
        <v>16530</v>
      </c>
    </row>
    <row r="148" spans="1:5" ht="12" customHeight="1">
      <c r="A148" s="13" t="s">
        <v>59</v>
      </c>
      <c r="B148" s="7" t="s">
        <v>277</v>
      </c>
      <c r="C148" s="167"/>
      <c r="D148" s="254"/>
      <c r="E148" s="103"/>
    </row>
    <row r="149" spans="1:5" ht="12" customHeight="1">
      <c r="A149" s="13" t="s">
        <v>60</v>
      </c>
      <c r="B149" s="7" t="s">
        <v>278</v>
      </c>
      <c r="C149" s="167">
        <v>16506</v>
      </c>
      <c r="D149" s="254">
        <v>16530</v>
      </c>
      <c r="E149" s="103">
        <v>16530</v>
      </c>
    </row>
    <row r="150" spans="1:5" ht="12" customHeight="1">
      <c r="A150" s="13" t="s">
        <v>195</v>
      </c>
      <c r="B150" s="7" t="s">
        <v>362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294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363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358</v>
      </c>
      <c r="C153" s="167"/>
      <c r="D153" s="254"/>
      <c r="E153" s="103"/>
    </row>
    <row r="154" spans="1:5" ht="12" customHeight="1">
      <c r="A154" s="13" t="s">
        <v>62</v>
      </c>
      <c r="B154" s="7" t="s">
        <v>365</v>
      </c>
      <c r="C154" s="167"/>
      <c r="D154" s="254"/>
      <c r="E154" s="103"/>
    </row>
    <row r="155" spans="1:5" ht="12" customHeight="1">
      <c r="A155" s="13" t="s">
        <v>207</v>
      </c>
      <c r="B155" s="7" t="s">
        <v>360</v>
      </c>
      <c r="C155" s="167"/>
      <c r="D155" s="254"/>
      <c r="E155" s="103"/>
    </row>
    <row r="156" spans="1:5" ht="12" customHeight="1">
      <c r="A156" s="13" t="s">
        <v>208</v>
      </c>
      <c r="B156" s="7" t="s">
        <v>366</v>
      </c>
      <c r="C156" s="167"/>
      <c r="D156" s="254"/>
      <c r="E156" s="103"/>
    </row>
    <row r="157" spans="1:5" ht="12" customHeight="1" thickBot="1">
      <c r="A157" s="13" t="s">
        <v>364</v>
      </c>
      <c r="B157" s="7" t="s">
        <v>367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368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369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371</v>
      </c>
      <c r="C160" s="247">
        <f>+C136+C140+C147+C152+C158+C159</f>
        <v>16506</v>
      </c>
      <c r="D160" s="259">
        <f>+D136+D140+D147+D152+D158+D159</f>
        <v>16530</v>
      </c>
      <c r="E160" s="241">
        <f>+E136+E140+E147+E152+E158+E159</f>
        <v>16530</v>
      </c>
      <c r="F160" s="188"/>
      <c r="G160" s="189"/>
      <c r="H160" s="189"/>
      <c r="I160" s="189"/>
    </row>
    <row r="161" spans="1:5" s="178" customFormat="1" ht="12.75" customHeight="1" thickBot="1">
      <c r="A161" s="112" t="s">
        <v>16</v>
      </c>
      <c r="B161" s="153" t="s">
        <v>370</v>
      </c>
      <c r="C161" s="247">
        <f>+C135+C160</f>
        <v>727436</v>
      </c>
      <c r="D161" s="259">
        <f>+D135+D160</f>
        <v>803865</v>
      </c>
      <c r="E161" s="241">
        <f>+E135+E160</f>
        <v>616222</v>
      </c>
    </row>
    <row r="162" spans="3:4" ht="15.75">
      <c r="C162" s="592">
        <f>C93-C161</f>
        <v>-48653</v>
      </c>
      <c r="D162" s="592">
        <f>D93-D161</f>
        <v>-77326</v>
      </c>
    </row>
    <row r="163" spans="1:5" ht="15.75">
      <c r="A163" s="915" t="s">
        <v>279</v>
      </c>
      <c r="B163" s="915"/>
      <c r="C163" s="915"/>
      <c r="D163" s="915"/>
      <c r="E163" s="915"/>
    </row>
    <row r="164" spans="1:5" ht="15" customHeight="1" thickBot="1">
      <c r="A164" s="907" t="s">
        <v>102</v>
      </c>
      <c r="B164" s="907"/>
      <c r="C164" s="114"/>
      <c r="E164" s="114" t="str">
        <f>E96</f>
        <v>e  Forintban!</v>
      </c>
    </row>
    <row r="165" spans="1:5" ht="25.5" customHeight="1" thickBot="1">
      <c r="A165" s="18">
        <v>1</v>
      </c>
      <c r="B165" s="23" t="s">
        <v>372</v>
      </c>
      <c r="C165" s="251">
        <f>+C68-C135</f>
        <v>-32147</v>
      </c>
      <c r="D165" s="166">
        <f>+D68-D135</f>
        <v>-79432</v>
      </c>
      <c r="E165" s="102">
        <f>+E68-E135</f>
        <v>112408</v>
      </c>
    </row>
    <row r="166" spans="1:5" ht="32.25" customHeight="1" thickBot="1">
      <c r="A166" s="18" t="s">
        <v>7</v>
      </c>
      <c r="B166" s="23" t="s">
        <v>378</v>
      </c>
      <c r="C166" s="166">
        <f>+C92-C160</f>
        <v>-16506</v>
      </c>
      <c r="D166" s="166">
        <f>+D92-D160</f>
        <v>2106</v>
      </c>
      <c r="E166" s="102">
        <f>+E92-E160</f>
        <v>2106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2755905511811024" right="0.2755905511811024" top="0.8661417322834646" bottom="0.6692913385826772" header="0" footer="0"/>
  <pageSetup fitToHeight="2" fitToWidth="1" horizontalDpi="600" verticalDpi="600" orientation="portrait" paperSize="9" scale="68" r:id="rId1"/>
  <headerFooter alignWithMargins="0">
    <oddFooter>&amp;C&amp;P</oddFooter>
  </headerFooter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6"/>
  <sheetViews>
    <sheetView zoomScale="102" zoomScaleNormal="102" zoomScaleSheetLayoutView="100" workbookViewId="0" topLeftCell="A70">
      <selection activeCell="E127" sqref="E127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902" t="str">
        <f>CONCATENATE("1.3. melléklet ",Z_ALAPADATOK!A7," ",Z_ALAPADATOK!B7," ",Z_ALAPADATOK!C7," ",Z_ALAPADATOK!D7," ",Z_ALAPADATOK!E7," ",Z_ALAPADATOK!F7," ",Z_ALAPADATOK!G7," ",Z_ALAPADATOK!H7)</f>
        <v>1.3. melléklet a … / 2020. ( … ) önkormányzati rendelethez</v>
      </c>
      <c r="C1" s="903"/>
      <c r="D1" s="903"/>
      <c r="E1" s="903"/>
    </row>
    <row r="2" spans="1:5" ht="15.75">
      <c r="A2" s="904" t="str">
        <f>CONCATENATE(Z_ALAPADATOK!A3)</f>
        <v>Bátaszék Város Önkormányzata</v>
      </c>
      <c r="B2" s="905"/>
      <c r="C2" s="905"/>
      <c r="D2" s="905"/>
      <c r="E2" s="905"/>
    </row>
    <row r="3" spans="1:5" ht="15.75">
      <c r="A3" s="904" t="str">
        <f>CONCATENATE(Z_ALAPADATOK!B1,". ÉVI ZÁRSZÁMADÁS")</f>
        <v>2019. ÉVI ZÁRSZÁMADÁS</v>
      </c>
      <c r="B3" s="904"/>
      <c r="C3" s="906"/>
      <c r="D3" s="904"/>
      <c r="E3" s="904"/>
    </row>
    <row r="4" spans="1:5" ht="19.5" customHeight="1">
      <c r="A4" s="904" t="s">
        <v>735</v>
      </c>
      <c r="B4" s="904"/>
      <c r="C4" s="906"/>
      <c r="D4" s="904"/>
      <c r="E4" s="904"/>
    </row>
    <row r="5" spans="1:5" ht="15.75">
      <c r="A5" s="316"/>
      <c r="B5" s="316"/>
      <c r="C5" s="317"/>
      <c r="D5" s="318"/>
      <c r="E5" s="318"/>
    </row>
    <row r="6" spans="1:5" ht="15.75" customHeight="1">
      <c r="A6" s="916" t="s">
        <v>3</v>
      </c>
      <c r="B6" s="916"/>
      <c r="C6" s="916"/>
      <c r="D6" s="916"/>
      <c r="E6" s="916"/>
    </row>
    <row r="7" spans="1:5" ht="15.75" customHeight="1" thickBot="1">
      <c r="A7" s="918" t="s">
        <v>100</v>
      </c>
      <c r="B7" s="918"/>
      <c r="C7" s="319"/>
      <c r="D7" s="318"/>
      <c r="E7" s="319" t="str">
        <f>CONCATENATE('Z_1.2.sz.mell.'!E7)</f>
        <v>e  Forintban!</v>
      </c>
    </row>
    <row r="8" spans="1:5" ht="15.75">
      <c r="A8" s="908" t="s">
        <v>51</v>
      </c>
      <c r="B8" s="910" t="s">
        <v>5</v>
      </c>
      <c r="C8" s="912" t="str">
        <f>+CONCATENATE(LEFT(Z_ÖSSZEFÜGGÉSEK!A6,4),". évi")</f>
        <v>2019. évi</v>
      </c>
      <c r="D8" s="913"/>
      <c r="E8" s="914"/>
    </row>
    <row r="9" spans="1:5" ht="24.75" thickBot="1">
      <c r="A9" s="909"/>
      <c r="B9" s="911"/>
      <c r="C9" s="249" t="s">
        <v>414</v>
      </c>
      <c r="D9" s="248" t="s">
        <v>415</v>
      </c>
      <c r="E9" s="309" t="str">
        <f>CONCATENATE('Z_1.2.sz.mell.'!E9)</f>
        <v>2019. XII. 31.
teljesítés</v>
      </c>
    </row>
    <row r="10" spans="1:5" s="177" customFormat="1" ht="12" customHeight="1" thickBot="1">
      <c r="A10" s="173" t="s">
        <v>382</v>
      </c>
      <c r="B10" s="174" t="s">
        <v>383</v>
      </c>
      <c r="C10" s="174" t="s">
        <v>384</v>
      </c>
      <c r="D10" s="174" t="s">
        <v>386</v>
      </c>
      <c r="E10" s="250" t="s">
        <v>385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0</v>
      </c>
      <c r="D11" s="166">
        <f>+D12+D13+D14+D15+D16+D17</f>
        <v>0</v>
      </c>
      <c r="E11" s="102">
        <f>+E12+E13+E14+E15+E16+E17</f>
        <v>0</v>
      </c>
    </row>
    <row r="12" spans="1:5" s="178" customFormat="1" ht="12" customHeight="1">
      <c r="A12" s="13" t="s">
        <v>63</v>
      </c>
      <c r="B12" s="179" t="s">
        <v>163</v>
      </c>
      <c r="C12" s="168"/>
      <c r="D12" s="168"/>
      <c r="E12" s="104"/>
    </row>
    <row r="13" spans="1:5" s="178" customFormat="1" ht="12" customHeight="1">
      <c r="A13" s="12" t="s">
        <v>64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65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66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97</v>
      </c>
      <c r="B16" s="110" t="s">
        <v>330</v>
      </c>
      <c r="C16" s="167"/>
      <c r="D16" s="167"/>
      <c r="E16" s="103"/>
    </row>
    <row r="17" spans="1:5" s="178" customFormat="1" ht="12" customHeight="1" thickBot="1">
      <c r="A17" s="14" t="s">
        <v>67</v>
      </c>
      <c r="B17" s="111" t="s">
        <v>331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50075</v>
      </c>
      <c r="D18" s="166">
        <f>+D19+D20+D21+D22+D23</f>
        <v>65583</v>
      </c>
      <c r="E18" s="102">
        <f>+E19+E20+E21+E22+E23</f>
        <v>61575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323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324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50075</v>
      </c>
      <c r="D23" s="167">
        <v>65583</v>
      </c>
      <c r="E23" s="103">
        <v>61575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>
        <v>1008</v>
      </c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91231</v>
      </c>
      <c r="D25" s="166">
        <f>+D26+D27+D28+D29+D30</f>
        <v>100555</v>
      </c>
      <c r="E25" s="102">
        <f>+E26+E27+E28+E29+E30</f>
        <v>104775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325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326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>
        <v>91231</v>
      </c>
      <c r="D30" s="167">
        <v>100555</v>
      </c>
      <c r="E30" s="103">
        <v>104775</v>
      </c>
    </row>
    <row r="31" spans="1:5" s="178" customFormat="1" ht="12" customHeight="1" thickBot="1">
      <c r="A31" s="14" t="s">
        <v>111</v>
      </c>
      <c r="B31" s="181" t="s">
        <v>176</v>
      </c>
      <c r="C31" s="169">
        <v>61231</v>
      </c>
      <c r="D31" s="169">
        <v>66168</v>
      </c>
      <c r="E31" s="105"/>
    </row>
    <row r="32" spans="1:5" s="178" customFormat="1" ht="12" customHeight="1" thickBot="1">
      <c r="A32" s="18" t="s">
        <v>112</v>
      </c>
      <c r="B32" s="19" t="s">
        <v>472</v>
      </c>
      <c r="C32" s="172">
        <f>SUM(C33:C39)</f>
        <v>295800</v>
      </c>
      <c r="D32" s="172">
        <f>SUM(D33:D39)</f>
        <v>341800</v>
      </c>
      <c r="E32" s="207">
        <f>SUM(E33:E39)</f>
        <v>342513</v>
      </c>
    </row>
    <row r="33" spans="1:5" s="178" customFormat="1" ht="12" customHeight="1">
      <c r="A33" s="13" t="s">
        <v>177</v>
      </c>
      <c r="B33" s="179" t="str">
        <f>'Z_1.1.sz.mell.'!B33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'Z_1.1.sz.mell.'!B34</f>
        <v>Magánszemélyek kommunális adója</v>
      </c>
      <c r="C34" s="167">
        <v>32000</v>
      </c>
      <c r="D34" s="167">
        <v>32000</v>
      </c>
      <c r="E34" s="103">
        <v>32969</v>
      </c>
    </row>
    <row r="35" spans="1:5" s="178" customFormat="1" ht="12" customHeight="1">
      <c r="A35" s="12" t="s">
        <v>179</v>
      </c>
      <c r="B35" s="179" t="str">
        <f>'Z_1.1.sz.mell.'!B35</f>
        <v>Iparűzési adó</v>
      </c>
      <c r="C35" s="167">
        <v>262000</v>
      </c>
      <c r="D35" s="167">
        <v>308000</v>
      </c>
      <c r="E35" s="103">
        <v>308262</v>
      </c>
    </row>
    <row r="36" spans="1:5" s="178" customFormat="1" ht="12" customHeight="1">
      <c r="A36" s="12" t="s">
        <v>180</v>
      </c>
      <c r="B36" s="179" t="str">
        <f>'Z_1.1.sz.mell.'!B36</f>
        <v>Talajterhelési díj</v>
      </c>
      <c r="C36" s="167">
        <v>200</v>
      </c>
      <c r="D36" s="167">
        <v>200</v>
      </c>
      <c r="E36" s="103">
        <v>373</v>
      </c>
    </row>
    <row r="37" spans="1:5" s="178" customFormat="1" ht="12" customHeight="1">
      <c r="A37" s="12" t="s">
        <v>476</v>
      </c>
      <c r="B37" s="179" t="str">
        <f>'Z_1.1.sz.mell.'!B37</f>
        <v>Gépjárműadó</v>
      </c>
      <c r="C37" s="167"/>
      <c r="D37" s="167"/>
      <c r="E37" s="103"/>
    </row>
    <row r="38" spans="1:5" s="178" customFormat="1" ht="12" customHeight="1">
      <c r="A38" s="12" t="s">
        <v>477</v>
      </c>
      <c r="B38" s="179" t="str">
        <f>'Z_1.1.sz.mell.'!B38</f>
        <v>Telekadó</v>
      </c>
      <c r="C38" s="167"/>
      <c r="D38" s="167"/>
      <c r="E38" s="103"/>
    </row>
    <row r="39" spans="1:5" s="178" customFormat="1" ht="12" customHeight="1" thickBot="1">
      <c r="A39" s="14" t="s">
        <v>478</v>
      </c>
      <c r="B39" s="179" t="str">
        <f>'Z_1.1.sz.mell.'!B39</f>
        <v>Egyéb közhatalmi bevételek</v>
      </c>
      <c r="C39" s="169">
        <v>1600</v>
      </c>
      <c r="D39" s="169">
        <v>1600</v>
      </c>
      <c r="E39" s="105">
        <v>909</v>
      </c>
    </row>
    <row r="40" spans="1:5" s="178" customFormat="1" ht="12" customHeight="1" thickBot="1">
      <c r="A40" s="18" t="s">
        <v>10</v>
      </c>
      <c r="B40" s="19" t="s">
        <v>332</v>
      </c>
      <c r="C40" s="166">
        <f>SUM(C41:C51)</f>
        <v>192452</v>
      </c>
      <c r="D40" s="166">
        <f>SUM(D41:D51)</f>
        <v>118568</v>
      </c>
      <c r="E40" s="102">
        <f>SUM(E41:E51)</f>
        <v>116075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/>
      <c r="D42" s="167"/>
      <c r="E42" s="103"/>
    </row>
    <row r="43" spans="1:5" s="178" customFormat="1" ht="12" customHeight="1">
      <c r="A43" s="12" t="s">
        <v>58</v>
      </c>
      <c r="B43" s="180" t="s">
        <v>186</v>
      </c>
      <c r="C43" s="167">
        <v>250</v>
      </c>
      <c r="D43" s="167">
        <v>4924</v>
      </c>
      <c r="E43" s="103">
        <v>5026</v>
      </c>
    </row>
    <row r="44" spans="1:5" s="178" customFormat="1" ht="12" customHeight="1">
      <c r="A44" s="12" t="s">
        <v>114</v>
      </c>
      <c r="B44" s="180" t="s">
        <v>187</v>
      </c>
      <c r="C44" s="167">
        <v>50</v>
      </c>
      <c r="D44" s="167">
        <v>50</v>
      </c>
      <c r="E44" s="103">
        <v>50</v>
      </c>
    </row>
    <row r="45" spans="1:5" s="178" customFormat="1" ht="12" customHeight="1">
      <c r="A45" s="12" t="s">
        <v>115</v>
      </c>
      <c r="B45" s="180" t="s">
        <v>188</v>
      </c>
      <c r="C45" s="167"/>
      <c r="D45" s="167">
        <v>0</v>
      </c>
      <c r="E45" s="103"/>
    </row>
    <row r="46" spans="1:5" s="178" customFormat="1" ht="12" customHeight="1">
      <c r="A46" s="12" t="s">
        <v>116</v>
      </c>
      <c r="B46" s="180" t="s">
        <v>189</v>
      </c>
      <c r="C46" s="167">
        <v>67</v>
      </c>
      <c r="D46" s="167">
        <v>3796</v>
      </c>
      <c r="E46" s="103">
        <v>3702</v>
      </c>
    </row>
    <row r="47" spans="1:5" s="178" customFormat="1" ht="12" customHeight="1">
      <c r="A47" s="12" t="s">
        <v>117</v>
      </c>
      <c r="B47" s="180" t="s">
        <v>190</v>
      </c>
      <c r="C47" s="167">
        <v>192085</v>
      </c>
      <c r="D47" s="167">
        <v>109798</v>
      </c>
      <c r="E47" s="103">
        <v>107297</v>
      </c>
    </row>
    <row r="48" spans="1:5" s="178" customFormat="1" ht="12" customHeight="1">
      <c r="A48" s="12" t="s">
        <v>118</v>
      </c>
      <c r="B48" s="180" t="s">
        <v>479</v>
      </c>
      <c r="C48" s="167"/>
      <c r="D48" s="167"/>
      <c r="E48" s="103"/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334</v>
      </c>
      <c r="C50" s="171"/>
      <c r="D50" s="171"/>
      <c r="E50" s="107"/>
    </row>
    <row r="51" spans="1:5" s="178" customFormat="1" ht="12" customHeight="1" thickBot="1">
      <c r="A51" s="14" t="s">
        <v>333</v>
      </c>
      <c r="B51" s="111" t="s">
        <v>193</v>
      </c>
      <c r="C51" s="171"/>
      <c r="D51" s="171"/>
      <c r="E51" s="107"/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14513</v>
      </c>
      <c r="E52" s="102">
        <f>SUM(E53:E57)</f>
        <v>14513</v>
      </c>
    </row>
    <row r="53" spans="1:5" s="178" customFormat="1" ht="12" customHeight="1">
      <c r="A53" s="13" t="s">
        <v>59</v>
      </c>
      <c r="B53" s="179" t="s">
        <v>198</v>
      </c>
      <c r="C53" s="218"/>
      <c r="D53" s="218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>
        <v>14513</v>
      </c>
      <c r="E54" s="106">
        <v>14513</v>
      </c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4310</v>
      </c>
      <c r="E58" s="102">
        <f>SUM(E59:E61)</f>
        <v>4387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327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>
        <v>4310</v>
      </c>
      <c r="E61" s="103">
        <v>4387</v>
      </c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328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/>
      <c r="D66" s="170"/>
      <c r="E66" s="106"/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374</v>
      </c>
      <c r="B68" s="19" t="s">
        <v>214</v>
      </c>
      <c r="C68" s="172">
        <f>+C11+C18+C25+C32+C40+C52+C58+C63</f>
        <v>629558</v>
      </c>
      <c r="D68" s="172">
        <f>+D11+D18+D25+D32+D40+D52+D58+D63</f>
        <v>645329</v>
      </c>
      <c r="E68" s="207">
        <f>+E11+E18+E25+E32+E40+E52+E58+E63</f>
        <v>643838</v>
      </c>
    </row>
    <row r="69" spans="1:5" s="178" customFormat="1" ht="12" customHeight="1" thickBot="1">
      <c r="A69" s="219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243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252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253</v>
      </c>
      <c r="B72" s="228" t="s">
        <v>359</v>
      </c>
      <c r="C72" s="170"/>
      <c r="D72" s="170"/>
      <c r="E72" s="106"/>
    </row>
    <row r="73" spans="1:5" s="178" customFormat="1" ht="12" customHeight="1" thickBot="1">
      <c r="A73" s="219" t="s">
        <v>219</v>
      </c>
      <c r="B73" s="109" t="s">
        <v>220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221</v>
      </c>
      <c r="C74" s="170"/>
      <c r="D74" s="170"/>
      <c r="E74" s="106"/>
    </row>
    <row r="75" spans="1:5" s="178" customFormat="1" ht="12" customHeight="1">
      <c r="A75" s="12" t="s">
        <v>99</v>
      </c>
      <c r="B75" s="307" t="s">
        <v>485</v>
      </c>
      <c r="C75" s="170"/>
      <c r="D75" s="170"/>
      <c r="E75" s="106"/>
    </row>
    <row r="76" spans="1:5" s="178" customFormat="1" ht="12" customHeight="1">
      <c r="A76" s="12" t="s">
        <v>244</v>
      </c>
      <c r="B76" s="307" t="s">
        <v>222</v>
      </c>
      <c r="C76" s="170"/>
      <c r="D76" s="170"/>
      <c r="E76" s="106"/>
    </row>
    <row r="77" spans="1:5" s="178" customFormat="1" ht="12" customHeight="1" thickBot="1">
      <c r="A77" s="14" t="s">
        <v>245</v>
      </c>
      <c r="B77" s="308" t="s">
        <v>486</v>
      </c>
      <c r="C77" s="170"/>
      <c r="D77" s="170"/>
      <c r="E77" s="106"/>
    </row>
    <row r="78" spans="1:5" s="178" customFormat="1" ht="12" customHeight="1" thickBot="1">
      <c r="A78" s="219" t="s">
        <v>223</v>
      </c>
      <c r="B78" s="109" t="s">
        <v>224</v>
      </c>
      <c r="C78" s="166">
        <f>SUM(C79:C80)</f>
        <v>876390</v>
      </c>
      <c r="D78" s="166">
        <f>SUM(D79:D80)</f>
        <v>876435</v>
      </c>
      <c r="E78" s="102">
        <f>SUM(E79:E80)</f>
        <v>876435</v>
      </c>
    </row>
    <row r="79" spans="1:5" s="178" customFormat="1" ht="12" customHeight="1">
      <c r="A79" s="13" t="s">
        <v>246</v>
      </c>
      <c r="B79" s="179" t="s">
        <v>225</v>
      </c>
      <c r="C79" s="170">
        <v>876390</v>
      </c>
      <c r="D79" s="170">
        <v>876435</v>
      </c>
      <c r="E79" s="106">
        <v>876435</v>
      </c>
    </row>
    <row r="80" spans="1:5" s="178" customFormat="1" ht="12" customHeight="1" thickBot="1">
      <c r="A80" s="14" t="s">
        <v>247</v>
      </c>
      <c r="B80" s="111" t="s">
        <v>226</v>
      </c>
      <c r="C80" s="170"/>
      <c r="D80" s="170"/>
      <c r="E80" s="106"/>
    </row>
    <row r="81" spans="1:5" s="178" customFormat="1" ht="12" customHeight="1" thickBot="1">
      <c r="A81" s="219" t="s">
        <v>227</v>
      </c>
      <c r="B81" s="109" t="s">
        <v>228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248</v>
      </c>
      <c r="B82" s="179" t="s">
        <v>229</v>
      </c>
      <c r="C82" s="170"/>
      <c r="D82" s="170"/>
      <c r="E82" s="106"/>
    </row>
    <row r="83" spans="1:5" s="178" customFormat="1" ht="12" customHeight="1">
      <c r="A83" s="12" t="s">
        <v>249</v>
      </c>
      <c r="B83" s="180" t="s">
        <v>230</v>
      </c>
      <c r="C83" s="170"/>
      <c r="D83" s="170"/>
      <c r="E83" s="106"/>
    </row>
    <row r="84" spans="1:5" s="178" customFormat="1" ht="12" customHeight="1" thickBot="1">
      <c r="A84" s="14" t="s">
        <v>250</v>
      </c>
      <c r="B84" s="111" t="s">
        <v>487</v>
      </c>
      <c r="C84" s="170"/>
      <c r="D84" s="170"/>
      <c r="E84" s="106"/>
    </row>
    <row r="85" spans="1:5" s="178" customFormat="1" ht="12" customHeight="1" thickBot="1">
      <c r="A85" s="219" t="s">
        <v>231</v>
      </c>
      <c r="B85" s="109" t="s">
        <v>251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2" t="s">
        <v>232</v>
      </c>
      <c r="B86" s="179" t="s">
        <v>233</v>
      </c>
      <c r="C86" s="170"/>
      <c r="D86" s="170"/>
      <c r="E86" s="106"/>
    </row>
    <row r="87" spans="1:5" s="178" customFormat="1" ht="12" customHeight="1">
      <c r="A87" s="183" t="s">
        <v>234</v>
      </c>
      <c r="B87" s="180" t="s">
        <v>235</v>
      </c>
      <c r="C87" s="170"/>
      <c r="D87" s="170"/>
      <c r="E87" s="106"/>
    </row>
    <row r="88" spans="1:5" s="178" customFormat="1" ht="12" customHeight="1">
      <c r="A88" s="183" t="s">
        <v>236</v>
      </c>
      <c r="B88" s="180" t="s">
        <v>237</v>
      </c>
      <c r="C88" s="170"/>
      <c r="D88" s="170"/>
      <c r="E88" s="106"/>
    </row>
    <row r="89" spans="1:5" s="178" customFormat="1" ht="12" customHeight="1" thickBot="1">
      <c r="A89" s="184" t="s">
        <v>238</v>
      </c>
      <c r="B89" s="111" t="s">
        <v>239</v>
      </c>
      <c r="C89" s="170"/>
      <c r="D89" s="170"/>
      <c r="E89" s="106"/>
    </row>
    <row r="90" spans="1:5" s="178" customFormat="1" ht="12" customHeight="1" thickBot="1">
      <c r="A90" s="219" t="s">
        <v>240</v>
      </c>
      <c r="B90" s="109" t="s">
        <v>373</v>
      </c>
      <c r="C90" s="221"/>
      <c r="D90" s="221"/>
      <c r="E90" s="222"/>
    </row>
    <row r="91" spans="1:5" s="178" customFormat="1" ht="13.5" customHeight="1" thickBot="1">
      <c r="A91" s="219" t="s">
        <v>242</v>
      </c>
      <c r="B91" s="109" t="s">
        <v>241</v>
      </c>
      <c r="C91" s="221"/>
      <c r="D91" s="221"/>
      <c r="E91" s="222"/>
    </row>
    <row r="92" spans="1:5" s="178" customFormat="1" ht="15.75" customHeight="1" thickBot="1">
      <c r="A92" s="219" t="s">
        <v>254</v>
      </c>
      <c r="B92" s="185" t="s">
        <v>376</v>
      </c>
      <c r="C92" s="172">
        <f>+C69+C73+C78+C81+C85+C91+C90</f>
        <v>876390</v>
      </c>
      <c r="D92" s="172">
        <f>+D69+D73+D78+D81+D85+D91+D90</f>
        <v>876435</v>
      </c>
      <c r="E92" s="207">
        <f>+E69+E73+E78+E81+E85+E91+E90</f>
        <v>876435</v>
      </c>
    </row>
    <row r="93" spans="1:5" s="178" customFormat="1" ht="25.5" customHeight="1" thickBot="1">
      <c r="A93" s="220" t="s">
        <v>375</v>
      </c>
      <c r="B93" s="186" t="s">
        <v>377</v>
      </c>
      <c r="C93" s="172">
        <f>+C68+C92</f>
        <v>1505948</v>
      </c>
      <c r="D93" s="172">
        <f>+D68+D92</f>
        <v>1521764</v>
      </c>
      <c r="E93" s="207">
        <f>+E68+E92</f>
        <v>1520273</v>
      </c>
    </row>
    <row r="94" spans="1:3" s="178" customFormat="1" ht="15" customHeight="1">
      <c r="A94" s="3"/>
      <c r="B94" s="4"/>
      <c r="C94" s="113"/>
    </row>
    <row r="95" spans="1:5" ht="16.5" customHeight="1">
      <c r="A95" s="917" t="s">
        <v>34</v>
      </c>
      <c r="B95" s="917"/>
      <c r="C95" s="917"/>
      <c r="D95" s="917"/>
      <c r="E95" s="917"/>
    </row>
    <row r="96" spans="1:5" s="187" customFormat="1" ht="16.5" customHeight="1" thickBot="1">
      <c r="A96" s="919" t="s">
        <v>101</v>
      </c>
      <c r="B96" s="919"/>
      <c r="C96" s="60"/>
      <c r="E96" s="60" t="str">
        <f>E7</f>
        <v>e  Forintban!</v>
      </c>
    </row>
    <row r="97" spans="1:5" ht="15.75">
      <c r="A97" s="908" t="s">
        <v>51</v>
      </c>
      <c r="B97" s="910" t="s">
        <v>416</v>
      </c>
      <c r="C97" s="912" t="str">
        <f>+CONCATENATE(LEFT(Z_ÖSSZEFÜGGÉSEK!A6,4),". évi")</f>
        <v>2019. évi</v>
      </c>
      <c r="D97" s="913"/>
      <c r="E97" s="914"/>
    </row>
    <row r="98" spans="1:5" ht="24.75" thickBot="1">
      <c r="A98" s="909"/>
      <c r="B98" s="911"/>
      <c r="C98" s="249" t="s">
        <v>414</v>
      </c>
      <c r="D98" s="248" t="s">
        <v>415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382</v>
      </c>
      <c r="B99" s="26" t="s">
        <v>383</v>
      </c>
      <c r="C99" s="26" t="s">
        <v>384</v>
      </c>
      <c r="D99" s="26" t="s">
        <v>386</v>
      </c>
      <c r="E99" s="260" t="s">
        <v>385</v>
      </c>
    </row>
    <row r="100" spans="1:5" ht="12" customHeight="1" thickBot="1">
      <c r="A100" s="20" t="s">
        <v>6</v>
      </c>
      <c r="B100" s="24" t="s">
        <v>335</v>
      </c>
      <c r="C100" s="165">
        <f>C101+C102+C103+C104+C105+C118</f>
        <v>733788</v>
      </c>
      <c r="D100" s="165">
        <f>D101+D102+D103+D104+D105+D118</f>
        <v>894809</v>
      </c>
      <c r="E100" s="235">
        <f>E101+E102+E103+E104+E105+E118</f>
        <v>575371</v>
      </c>
    </row>
    <row r="101" spans="1:5" ht="12" customHeight="1">
      <c r="A101" s="15" t="s">
        <v>63</v>
      </c>
      <c r="B101" s="8" t="s">
        <v>35</v>
      </c>
      <c r="C101" s="242"/>
      <c r="D101" s="242"/>
      <c r="E101" s="236"/>
    </row>
    <row r="102" spans="1:5" ht="12" customHeight="1">
      <c r="A102" s="12" t="s">
        <v>64</v>
      </c>
      <c r="B102" s="6" t="s">
        <v>122</v>
      </c>
      <c r="C102" s="167"/>
      <c r="D102" s="167"/>
      <c r="E102" s="103"/>
    </row>
    <row r="103" spans="1:5" ht="12" customHeight="1">
      <c r="A103" s="12" t="s">
        <v>65</v>
      </c>
      <c r="B103" s="6" t="s">
        <v>90</v>
      </c>
      <c r="C103" s="169">
        <v>292120</v>
      </c>
      <c r="D103" s="675">
        <v>157457</v>
      </c>
      <c r="E103" s="105">
        <v>152345</v>
      </c>
    </row>
    <row r="104" spans="1:5" ht="12" customHeight="1">
      <c r="A104" s="12" t="s">
        <v>66</v>
      </c>
      <c r="B104" s="9" t="s">
        <v>123</v>
      </c>
      <c r="C104" s="169">
        <v>21631</v>
      </c>
      <c r="D104" s="675">
        <v>16020</v>
      </c>
      <c r="E104" s="105">
        <v>12287</v>
      </c>
    </row>
    <row r="105" spans="1:5" ht="12" customHeight="1">
      <c r="A105" s="12" t="s">
        <v>75</v>
      </c>
      <c r="B105" s="17" t="s">
        <v>124</v>
      </c>
      <c r="C105" s="169">
        <v>401127</v>
      </c>
      <c r="D105" s="675">
        <v>409154</v>
      </c>
      <c r="E105" s="105">
        <v>410739</v>
      </c>
    </row>
    <row r="106" spans="1:5" ht="12" customHeight="1">
      <c r="A106" s="12" t="s">
        <v>67</v>
      </c>
      <c r="B106" s="6" t="s">
        <v>340</v>
      </c>
      <c r="C106" s="169"/>
      <c r="D106" s="675">
        <v>0</v>
      </c>
      <c r="E106" s="105"/>
    </row>
    <row r="107" spans="1:5" ht="12" customHeight="1">
      <c r="A107" s="12" t="s">
        <v>68</v>
      </c>
      <c r="B107" s="64" t="s">
        <v>339</v>
      </c>
      <c r="C107" s="169"/>
      <c r="D107" s="675">
        <v>0</v>
      </c>
      <c r="E107" s="105"/>
    </row>
    <row r="108" spans="1:5" ht="12" customHeight="1">
      <c r="A108" s="12" t="s">
        <v>76</v>
      </c>
      <c r="B108" s="64" t="s">
        <v>338</v>
      </c>
      <c r="C108" s="169"/>
      <c r="D108" s="675">
        <v>0</v>
      </c>
      <c r="E108" s="105"/>
    </row>
    <row r="109" spans="1:5" ht="12" customHeight="1">
      <c r="A109" s="12" t="s">
        <v>77</v>
      </c>
      <c r="B109" s="62" t="s">
        <v>257</v>
      </c>
      <c r="C109" s="169"/>
      <c r="D109" s="675">
        <v>0</v>
      </c>
      <c r="E109" s="105"/>
    </row>
    <row r="110" spans="1:5" ht="12" customHeight="1">
      <c r="A110" s="12" t="s">
        <v>78</v>
      </c>
      <c r="B110" s="63" t="s">
        <v>258</v>
      </c>
      <c r="C110" s="169"/>
      <c r="D110" s="675">
        <v>0</v>
      </c>
      <c r="E110" s="105"/>
    </row>
    <row r="111" spans="1:5" ht="12" customHeight="1">
      <c r="A111" s="12" t="s">
        <v>79</v>
      </c>
      <c r="B111" s="63" t="s">
        <v>259</v>
      </c>
      <c r="C111" s="169"/>
      <c r="D111" s="675">
        <v>0</v>
      </c>
      <c r="E111" s="105"/>
    </row>
    <row r="112" spans="1:5" ht="12" customHeight="1">
      <c r="A112" s="12" t="s">
        <v>81</v>
      </c>
      <c r="B112" s="62" t="s">
        <v>260</v>
      </c>
      <c r="C112" s="169">
        <v>381627</v>
      </c>
      <c r="D112" s="675">
        <v>381208</v>
      </c>
      <c r="E112" s="105">
        <v>382793</v>
      </c>
    </row>
    <row r="113" spans="1:5" ht="12" customHeight="1">
      <c r="A113" s="12" t="s">
        <v>125</v>
      </c>
      <c r="B113" s="62" t="s">
        <v>261</v>
      </c>
      <c r="C113" s="169"/>
      <c r="D113" s="675">
        <v>0</v>
      </c>
      <c r="E113" s="105"/>
    </row>
    <row r="114" spans="1:5" ht="12" customHeight="1">
      <c r="A114" s="12" t="s">
        <v>255</v>
      </c>
      <c r="B114" s="63" t="s">
        <v>262</v>
      </c>
      <c r="C114" s="169"/>
      <c r="D114" s="675">
        <v>0</v>
      </c>
      <c r="E114" s="105"/>
    </row>
    <row r="115" spans="1:5" ht="12" customHeight="1">
      <c r="A115" s="11" t="s">
        <v>256</v>
      </c>
      <c r="B115" s="64" t="s">
        <v>263</v>
      </c>
      <c r="C115" s="169"/>
      <c r="D115" s="675">
        <v>0</v>
      </c>
      <c r="E115" s="105"/>
    </row>
    <row r="116" spans="1:5" ht="12" customHeight="1">
      <c r="A116" s="12" t="s">
        <v>336</v>
      </c>
      <c r="B116" s="64" t="s">
        <v>264</v>
      </c>
      <c r="C116" s="169"/>
      <c r="D116" s="675">
        <v>0</v>
      </c>
      <c r="E116" s="105"/>
    </row>
    <row r="117" spans="1:5" ht="12" customHeight="1">
      <c r="A117" s="14" t="s">
        <v>337</v>
      </c>
      <c r="B117" s="64" t="s">
        <v>265</v>
      </c>
      <c r="C117" s="169">
        <v>19500</v>
      </c>
      <c r="D117" s="675">
        <v>27946</v>
      </c>
      <c r="E117" s="105">
        <v>27946</v>
      </c>
    </row>
    <row r="118" spans="1:5" ht="12" customHeight="1">
      <c r="A118" s="12" t="s">
        <v>341</v>
      </c>
      <c r="B118" s="9" t="s">
        <v>36</v>
      </c>
      <c r="C118" s="167">
        <v>18910</v>
      </c>
      <c r="D118" s="676">
        <v>312178</v>
      </c>
      <c r="E118" s="103"/>
    </row>
    <row r="119" spans="1:5" ht="12" customHeight="1">
      <c r="A119" s="12" t="s">
        <v>342</v>
      </c>
      <c r="B119" s="6" t="s">
        <v>344</v>
      </c>
      <c r="C119" s="167"/>
      <c r="D119" s="676">
        <v>4554</v>
      </c>
      <c r="E119" s="103"/>
    </row>
    <row r="120" spans="1:5" ht="12" customHeight="1" thickBot="1">
      <c r="A120" s="16" t="s">
        <v>343</v>
      </c>
      <c r="B120" s="231" t="s">
        <v>345</v>
      </c>
      <c r="C120" s="243">
        <v>18910</v>
      </c>
      <c r="D120" s="677">
        <v>307624</v>
      </c>
      <c r="E120" s="237"/>
    </row>
    <row r="121" spans="1:5" ht="12" customHeight="1" thickBot="1">
      <c r="A121" s="229" t="s">
        <v>7</v>
      </c>
      <c r="B121" s="230" t="s">
        <v>266</v>
      </c>
      <c r="C121" s="244">
        <f>+C122+C124+C126</f>
        <v>666730</v>
      </c>
      <c r="D121" s="166">
        <f>+D122+D124+D126</f>
        <v>503217</v>
      </c>
      <c r="E121" s="238">
        <f>+E122+E124+E126</f>
        <v>502921</v>
      </c>
    </row>
    <row r="122" spans="1:5" ht="12" customHeight="1">
      <c r="A122" s="13" t="s">
        <v>69</v>
      </c>
      <c r="B122" s="6" t="s">
        <v>143</v>
      </c>
      <c r="C122" s="168">
        <v>660515</v>
      </c>
      <c r="D122" s="253">
        <v>462086</v>
      </c>
      <c r="E122" s="104">
        <v>462568</v>
      </c>
    </row>
    <row r="123" spans="1:5" ht="12" customHeight="1">
      <c r="A123" s="13" t="s">
        <v>70</v>
      </c>
      <c r="B123" s="10" t="s">
        <v>270</v>
      </c>
      <c r="C123" s="168">
        <v>635515</v>
      </c>
      <c r="D123" s="253">
        <v>360334</v>
      </c>
      <c r="E123" s="104">
        <v>462568</v>
      </c>
    </row>
    <row r="124" spans="1:5" ht="12" customHeight="1">
      <c r="A124" s="13" t="s">
        <v>71</v>
      </c>
      <c r="B124" s="10" t="s">
        <v>126</v>
      </c>
      <c r="C124" s="167"/>
      <c r="D124" s="254">
        <v>0</v>
      </c>
      <c r="E124" s="103"/>
    </row>
    <row r="125" spans="1:5" ht="12" customHeight="1">
      <c r="A125" s="13" t="s">
        <v>72</v>
      </c>
      <c r="B125" s="10" t="s">
        <v>271</v>
      </c>
      <c r="C125" s="167"/>
      <c r="D125" s="254">
        <v>0</v>
      </c>
      <c r="E125" s="103"/>
    </row>
    <row r="126" spans="1:5" ht="12" customHeight="1">
      <c r="A126" s="13" t="s">
        <v>73</v>
      </c>
      <c r="B126" s="111" t="s">
        <v>145</v>
      </c>
      <c r="C126" s="167">
        <v>6215</v>
      </c>
      <c r="D126" s="254">
        <v>41131</v>
      </c>
      <c r="E126" s="103">
        <v>40353</v>
      </c>
    </row>
    <row r="127" spans="1:5" ht="12" customHeight="1">
      <c r="A127" s="13" t="s">
        <v>80</v>
      </c>
      <c r="B127" s="110" t="s">
        <v>329</v>
      </c>
      <c r="C127" s="167"/>
      <c r="D127" s="254">
        <v>0</v>
      </c>
      <c r="E127" s="103"/>
    </row>
    <row r="128" spans="1:5" ht="12" customHeight="1">
      <c r="A128" s="13" t="s">
        <v>82</v>
      </c>
      <c r="B128" s="175" t="s">
        <v>276</v>
      </c>
      <c r="C128" s="167"/>
      <c r="D128" s="254">
        <v>0</v>
      </c>
      <c r="E128" s="103"/>
    </row>
    <row r="129" spans="1:5" ht="15.75">
      <c r="A129" s="13" t="s">
        <v>127</v>
      </c>
      <c r="B129" s="63" t="s">
        <v>259</v>
      </c>
      <c r="C129" s="167"/>
      <c r="D129" s="254">
        <v>0</v>
      </c>
      <c r="E129" s="103"/>
    </row>
    <row r="130" spans="1:5" ht="12" customHeight="1">
      <c r="A130" s="13" t="s">
        <v>128</v>
      </c>
      <c r="B130" s="63" t="s">
        <v>275</v>
      </c>
      <c r="C130" s="167">
        <v>3769</v>
      </c>
      <c r="D130" s="254">
        <v>3763</v>
      </c>
      <c r="E130" s="103">
        <v>3763</v>
      </c>
    </row>
    <row r="131" spans="1:5" ht="12" customHeight="1">
      <c r="A131" s="13" t="s">
        <v>129</v>
      </c>
      <c r="B131" s="63" t="s">
        <v>274</v>
      </c>
      <c r="C131" s="167"/>
      <c r="D131" s="254">
        <v>0</v>
      </c>
      <c r="E131" s="103"/>
    </row>
    <row r="132" spans="1:5" ht="12" customHeight="1">
      <c r="A132" s="13" t="s">
        <v>267</v>
      </c>
      <c r="B132" s="63" t="s">
        <v>262</v>
      </c>
      <c r="C132" s="167"/>
      <c r="D132" s="254">
        <v>0</v>
      </c>
      <c r="E132" s="103"/>
    </row>
    <row r="133" spans="1:5" ht="12" customHeight="1">
      <c r="A133" s="13" t="s">
        <v>268</v>
      </c>
      <c r="B133" s="63" t="s">
        <v>273</v>
      </c>
      <c r="C133" s="167"/>
      <c r="D133" s="254">
        <v>0</v>
      </c>
      <c r="E133" s="103"/>
    </row>
    <row r="134" spans="1:5" ht="16.5" thickBot="1">
      <c r="A134" s="11" t="s">
        <v>269</v>
      </c>
      <c r="B134" s="63" t="s">
        <v>272</v>
      </c>
      <c r="C134" s="169">
        <v>2446</v>
      </c>
      <c r="D134" s="255">
        <v>37362</v>
      </c>
      <c r="E134" s="105">
        <v>36590</v>
      </c>
    </row>
    <row r="135" spans="1:5" ht="12" customHeight="1" thickBot="1">
      <c r="A135" s="18" t="s">
        <v>8</v>
      </c>
      <c r="B135" s="56" t="s">
        <v>346</v>
      </c>
      <c r="C135" s="166">
        <f>+C100+C121</f>
        <v>1400518</v>
      </c>
      <c r="D135" s="252">
        <f>+D100+D121</f>
        <v>1398026</v>
      </c>
      <c r="E135" s="102">
        <f>+E100+E121</f>
        <v>1078292</v>
      </c>
    </row>
    <row r="136" spans="1:5" ht="12" customHeight="1" thickBot="1">
      <c r="A136" s="18" t="s">
        <v>9</v>
      </c>
      <c r="B136" s="56" t="s">
        <v>417</v>
      </c>
      <c r="C136" s="166">
        <f>+C137+C138+C139</f>
        <v>0</v>
      </c>
      <c r="D136" s="252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354</v>
      </c>
      <c r="C137" s="167"/>
      <c r="D137" s="254"/>
      <c r="E137" s="103"/>
    </row>
    <row r="138" spans="1:5" ht="12" customHeight="1">
      <c r="A138" s="13" t="s">
        <v>178</v>
      </c>
      <c r="B138" s="10" t="s">
        <v>355</v>
      </c>
      <c r="C138" s="167"/>
      <c r="D138" s="254"/>
      <c r="E138" s="103"/>
    </row>
    <row r="139" spans="1:5" ht="12" customHeight="1" thickBot="1">
      <c r="A139" s="11" t="s">
        <v>179</v>
      </c>
      <c r="B139" s="10" t="s">
        <v>356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348</v>
      </c>
      <c r="C140" s="166">
        <f>SUM(C141:C146)</f>
        <v>0</v>
      </c>
      <c r="D140" s="252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357</v>
      </c>
      <c r="C141" s="167"/>
      <c r="D141" s="254"/>
      <c r="E141" s="103"/>
    </row>
    <row r="142" spans="1:5" ht="12" customHeight="1">
      <c r="A142" s="13" t="s">
        <v>57</v>
      </c>
      <c r="B142" s="7" t="s">
        <v>349</v>
      </c>
      <c r="C142" s="167"/>
      <c r="D142" s="254"/>
      <c r="E142" s="103"/>
    </row>
    <row r="143" spans="1:5" ht="12" customHeight="1">
      <c r="A143" s="13" t="s">
        <v>58</v>
      </c>
      <c r="B143" s="7" t="s">
        <v>350</v>
      </c>
      <c r="C143" s="167"/>
      <c r="D143" s="254"/>
      <c r="E143" s="103"/>
    </row>
    <row r="144" spans="1:5" ht="12" customHeight="1">
      <c r="A144" s="13" t="s">
        <v>114</v>
      </c>
      <c r="B144" s="7" t="s">
        <v>351</v>
      </c>
      <c r="C144" s="167"/>
      <c r="D144" s="254"/>
      <c r="E144" s="103"/>
    </row>
    <row r="145" spans="1:5" ht="12" customHeight="1">
      <c r="A145" s="13" t="s">
        <v>115</v>
      </c>
      <c r="B145" s="7" t="s">
        <v>352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353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361</v>
      </c>
      <c r="C147" s="172">
        <f>+C148+C149+C150+C151</f>
        <v>0</v>
      </c>
      <c r="D147" s="256">
        <f>+D148+D149+D150+D151</f>
        <v>0</v>
      </c>
      <c r="E147" s="207">
        <f>+E148+E149+E150+E151</f>
        <v>0</v>
      </c>
    </row>
    <row r="148" spans="1:5" ht="12" customHeight="1">
      <c r="A148" s="13" t="s">
        <v>59</v>
      </c>
      <c r="B148" s="7" t="s">
        <v>277</v>
      </c>
      <c r="C148" s="167"/>
      <c r="D148" s="254"/>
      <c r="E148" s="103"/>
    </row>
    <row r="149" spans="1:5" ht="12" customHeight="1">
      <c r="A149" s="13" t="s">
        <v>60</v>
      </c>
      <c r="B149" s="7" t="s">
        <v>278</v>
      </c>
      <c r="C149" s="167"/>
      <c r="D149" s="254"/>
      <c r="E149" s="103"/>
    </row>
    <row r="150" spans="1:5" ht="12" customHeight="1">
      <c r="A150" s="13" t="s">
        <v>195</v>
      </c>
      <c r="B150" s="7" t="s">
        <v>362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294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363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358</v>
      </c>
      <c r="C153" s="167"/>
      <c r="D153" s="254"/>
      <c r="E153" s="103"/>
    </row>
    <row r="154" spans="1:5" ht="12" customHeight="1">
      <c r="A154" s="13" t="s">
        <v>62</v>
      </c>
      <c r="B154" s="7" t="s">
        <v>365</v>
      </c>
      <c r="C154" s="167"/>
      <c r="D154" s="254"/>
      <c r="E154" s="103"/>
    </row>
    <row r="155" spans="1:5" ht="12" customHeight="1">
      <c r="A155" s="13" t="s">
        <v>207</v>
      </c>
      <c r="B155" s="7" t="s">
        <v>360</v>
      </c>
      <c r="C155" s="167"/>
      <c r="D155" s="254"/>
      <c r="E155" s="103"/>
    </row>
    <row r="156" spans="1:5" ht="12" customHeight="1">
      <c r="A156" s="13" t="s">
        <v>208</v>
      </c>
      <c r="B156" s="7" t="s">
        <v>366</v>
      </c>
      <c r="C156" s="167"/>
      <c r="D156" s="254"/>
      <c r="E156" s="103"/>
    </row>
    <row r="157" spans="1:5" ht="12" customHeight="1" thickBot="1">
      <c r="A157" s="13" t="s">
        <v>364</v>
      </c>
      <c r="B157" s="7" t="s">
        <v>367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368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369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371</v>
      </c>
      <c r="C160" s="247">
        <f>+C136+C140+C147+C152+C158+C159</f>
        <v>0</v>
      </c>
      <c r="D160" s="259">
        <f>+D136+D140+D147+D152+D158+D159</f>
        <v>0</v>
      </c>
      <c r="E160" s="241">
        <f>+E136+E140+E147+E152+E158+E159</f>
        <v>0</v>
      </c>
      <c r="F160" s="188"/>
      <c r="G160" s="189"/>
      <c r="H160" s="189"/>
      <c r="I160" s="189"/>
    </row>
    <row r="161" spans="1:5" s="178" customFormat="1" ht="12.75" customHeight="1" thickBot="1">
      <c r="A161" s="112" t="s">
        <v>16</v>
      </c>
      <c r="B161" s="153" t="s">
        <v>370</v>
      </c>
      <c r="C161" s="247">
        <f>+C135+C160</f>
        <v>1400518</v>
      </c>
      <c r="D161" s="259">
        <f>+D135+D160</f>
        <v>1398026</v>
      </c>
      <c r="E161" s="241">
        <f>+E135+E160</f>
        <v>1078292</v>
      </c>
    </row>
    <row r="162" spans="3:4" ht="15.75">
      <c r="C162" s="592">
        <f>C93-C161</f>
        <v>105430</v>
      </c>
      <c r="D162" s="592">
        <f>D93-D161</f>
        <v>123738</v>
      </c>
    </row>
    <row r="163" spans="1:5" ht="15.75">
      <c r="A163" s="915" t="s">
        <v>279</v>
      </c>
      <c r="B163" s="915"/>
      <c r="C163" s="915"/>
      <c r="D163" s="915"/>
      <c r="E163" s="915"/>
    </row>
    <row r="164" spans="1:5" ht="15" customHeight="1" thickBot="1">
      <c r="A164" s="907" t="s">
        <v>102</v>
      </c>
      <c r="B164" s="907"/>
      <c r="C164" s="114"/>
      <c r="E164" s="114" t="str">
        <f>E96</f>
        <v>e  Forintban!</v>
      </c>
    </row>
    <row r="165" spans="1:5" ht="25.5" customHeight="1" thickBot="1">
      <c r="A165" s="18">
        <v>1</v>
      </c>
      <c r="B165" s="23" t="s">
        <v>372</v>
      </c>
      <c r="C165" s="251">
        <f>+C68-C135</f>
        <v>-770960</v>
      </c>
      <c r="D165" s="166">
        <f>+D68-D135</f>
        <v>-752697</v>
      </c>
      <c r="E165" s="102">
        <f>+E68-E135</f>
        <v>-434454</v>
      </c>
    </row>
    <row r="166" spans="1:5" ht="32.25" customHeight="1" thickBot="1">
      <c r="A166" s="18" t="s">
        <v>7</v>
      </c>
      <c r="B166" s="23" t="s">
        <v>378</v>
      </c>
      <c r="C166" s="166">
        <f>+C92-C160</f>
        <v>876390</v>
      </c>
      <c r="D166" s="166">
        <f>+D92-D160</f>
        <v>876435</v>
      </c>
      <c r="E166" s="102">
        <f>+E92-E160</f>
        <v>876435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2755905511811024" right="0.2755905511811024" top="0.8661417322834646" bottom="0.6692913385826772" header="0" footer="0"/>
  <pageSetup fitToHeight="2" fitToWidth="1" horizontalDpi="600" verticalDpi="600" orientation="portrait" paperSize="9" scale="68" r:id="rId1"/>
  <headerFooter alignWithMargins="0">
    <oddFooter>&amp;C&amp;P</oddFooter>
  </headerFooter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6"/>
  <sheetViews>
    <sheetView zoomScale="91" zoomScaleNormal="91" zoomScaleSheetLayoutView="100" workbookViewId="0" topLeftCell="B88">
      <selection activeCell="E124" sqref="E124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902" t="str">
        <f>CONCATENATE("1.4. melléklet ",Z_ALAPADATOK!A7," ",Z_ALAPADATOK!B7," ",Z_ALAPADATOK!C7," ",Z_ALAPADATOK!D7," ",Z_ALAPADATOK!E7," ",Z_ALAPADATOK!F7," ",Z_ALAPADATOK!G7," ",Z_ALAPADATOK!H7)</f>
        <v>1.4. melléklet a … / 2020. ( … ) önkormányzati rendelethez</v>
      </c>
      <c r="C1" s="903"/>
      <c r="D1" s="903"/>
      <c r="E1" s="903"/>
    </row>
    <row r="2" spans="1:5" ht="15.75">
      <c r="A2" s="904" t="str">
        <f>CONCATENATE(Z_ALAPADATOK!A3)</f>
        <v>Bátaszék Város Önkormányzata</v>
      </c>
      <c r="B2" s="905"/>
      <c r="C2" s="905"/>
      <c r="D2" s="905"/>
      <c r="E2" s="905"/>
    </row>
    <row r="3" spans="1:5" ht="15.75">
      <c r="A3" s="896" t="str">
        <f>CONCATENATE(Z_ALAPADATOK!B1,". ÉVI ZÁRSZÁMADÁS")</f>
        <v>2019. ÉVI ZÁRSZÁMADÁS</v>
      </c>
      <c r="B3" s="896"/>
      <c r="C3" s="896"/>
      <c r="D3" s="896"/>
      <c r="E3" s="896"/>
    </row>
    <row r="4" spans="1:5" ht="17.25" customHeight="1">
      <c r="A4" s="896" t="s">
        <v>736</v>
      </c>
      <c r="B4" s="896"/>
      <c r="C4" s="896"/>
      <c r="D4" s="896"/>
      <c r="E4" s="896"/>
    </row>
    <row r="5" spans="1:5" ht="15.75">
      <c r="A5" s="316"/>
      <c r="B5" s="316"/>
      <c r="C5" s="317"/>
      <c r="D5" s="318"/>
      <c r="E5" s="318"/>
    </row>
    <row r="6" spans="1:5" ht="15.75" customHeight="1">
      <c r="A6" s="916" t="s">
        <v>3</v>
      </c>
      <c r="B6" s="916"/>
      <c r="C6" s="916"/>
      <c r="D6" s="916"/>
      <c r="E6" s="916"/>
    </row>
    <row r="7" spans="1:5" ht="15.75" customHeight="1" thickBot="1">
      <c r="A7" s="918" t="s">
        <v>100</v>
      </c>
      <c r="B7" s="918"/>
      <c r="C7" s="319"/>
      <c r="D7" s="318"/>
      <c r="E7" s="319" t="str">
        <f>CONCATENATE('Z_1.3.sz.mell.'!E7)</f>
        <v>e  Forintban!</v>
      </c>
    </row>
    <row r="8" spans="1:5" ht="15.75">
      <c r="A8" s="908" t="s">
        <v>51</v>
      </c>
      <c r="B8" s="910" t="s">
        <v>5</v>
      </c>
      <c r="C8" s="912" t="str">
        <f>+CONCATENATE(LEFT(Z_ÖSSZEFÜGGÉSEK!A6,4),". évi")</f>
        <v>2019. évi</v>
      </c>
      <c r="D8" s="913"/>
      <c r="E8" s="914"/>
    </row>
    <row r="9" spans="1:5" ht="24.75" thickBot="1">
      <c r="A9" s="909"/>
      <c r="B9" s="911"/>
      <c r="C9" s="249" t="s">
        <v>414</v>
      </c>
      <c r="D9" s="248" t="s">
        <v>415</v>
      </c>
      <c r="E9" s="309" t="str">
        <f>CONCATENATE('Z_1.3.sz.mell.'!E9)</f>
        <v>2019. XII. 31.
teljesítés</v>
      </c>
    </row>
    <row r="10" spans="1:5" s="177" customFormat="1" ht="12" customHeight="1" thickBot="1">
      <c r="A10" s="173" t="s">
        <v>382</v>
      </c>
      <c r="B10" s="174" t="s">
        <v>383</v>
      </c>
      <c r="C10" s="174" t="s">
        <v>384</v>
      </c>
      <c r="D10" s="174" t="s">
        <v>386</v>
      </c>
      <c r="E10" s="250" t="s">
        <v>385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0</v>
      </c>
      <c r="D11" s="166">
        <f>+D12+D13+D14+D15+D16+D17</f>
        <v>0</v>
      </c>
      <c r="E11" s="102">
        <f>+E12+E13+E14+E15+E16+E17</f>
        <v>0</v>
      </c>
    </row>
    <row r="12" spans="1:5" s="178" customFormat="1" ht="12" customHeight="1">
      <c r="A12" s="13" t="s">
        <v>63</v>
      </c>
      <c r="B12" s="179" t="s">
        <v>163</v>
      </c>
      <c r="C12" s="168"/>
      <c r="D12" s="168"/>
      <c r="E12" s="104"/>
    </row>
    <row r="13" spans="1:5" s="178" customFormat="1" ht="12" customHeight="1">
      <c r="A13" s="12" t="s">
        <v>64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65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66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97</v>
      </c>
      <c r="B16" s="110" t="s">
        <v>330</v>
      </c>
      <c r="C16" s="167"/>
      <c r="D16" s="167"/>
      <c r="E16" s="103"/>
    </row>
    <row r="17" spans="1:5" s="178" customFormat="1" ht="12" customHeight="1" thickBot="1">
      <c r="A17" s="14" t="s">
        <v>67</v>
      </c>
      <c r="B17" s="111" t="s">
        <v>331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12819</v>
      </c>
      <c r="D18" s="166">
        <f>+D19+D20+D21+D22+D23</f>
        <v>13755</v>
      </c>
      <c r="E18" s="102">
        <f>+E19+E20+E21+E22+E23</f>
        <v>15466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323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324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12819</v>
      </c>
      <c r="D23" s="167">
        <v>13755</v>
      </c>
      <c r="E23" s="103">
        <v>15466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1696</v>
      </c>
      <c r="D25" s="166">
        <f>+D26+D27+D28+D29+D30</f>
        <v>10617</v>
      </c>
      <c r="E25" s="102">
        <f>+E26+E27+E28+E29+E30</f>
        <v>9399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325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326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>
        <v>1696</v>
      </c>
      <c r="D30" s="167">
        <v>10617</v>
      </c>
      <c r="E30" s="103">
        <v>9399</v>
      </c>
    </row>
    <row r="31" spans="1:5" s="178" customFormat="1" ht="12" customHeight="1" thickBot="1">
      <c r="A31" s="14" t="s">
        <v>111</v>
      </c>
      <c r="B31" s="181" t="s">
        <v>176</v>
      </c>
      <c r="C31" s="169">
        <v>1696</v>
      </c>
      <c r="D31" s="169">
        <v>10617</v>
      </c>
      <c r="E31" s="105">
        <v>9399</v>
      </c>
    </row>
    <row r="32" spans="1:5" s="178" customFormat="1" ht="12" customHeight="1" thickBot="1">
      <c r="A32" s="18" t="s">
        <v>112</v>
      </c>
      <c r="B32" s="19" t="s">
        <v>472</v>
      </c>
      <c r="C32" s="172">
        <f>SUM(C33:C39)</f>
        <v>0</v>
      </c>
      <c r="D32" s="172">
        <f>SUM(D33:D39)</f>
        <v>0</v>
      </c>
      <c r="E32" s="207">
        <f>SUM(E33:E39)</f>
        <v>0</v>
      </c>
    </row>
    <row r="33" spans="1:5" s="178" customFormat="1" ht="12" customHeight="1">
      <c r="A33" s="13" t="s">
        <v>177</v>
      </c>
      <c r="B33" s="179" t="str">
        <f>'Z_1.1.sz.mell.'!B33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'Z_1.1.sz.mell.'!B34</f>
        <v>Magánszemélyek kommunális adója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'Z_1.1.sz.mell.'!B35</f>
        <v>Iparűzési adó</v>
      </c>
      <c r="C35" s="167"/>
      <c r="D35" s="167"/>
      <c r="E35" s="103"/>
    </row>
    <row r="36" spans="1:5" s="178" customFormat="1" ht="12" customHeight="1">
      <c r="A36" s="12" t="s">
        <v>180</v>
      </c>
      <c r="B36" s="179" t="str">
        <f>'Z_1.1.sz.mell.'!B36</f>
        <v>Talajterhelési díj</v>
      </c>
      <c r="C36" s="167"/>
      <c r="D36" s="167"/>
      <c r="E36" s="103"/>
    </row>
    <row r="37" spans="1:5" s="178" customFormat="1" ht="12" customHeight="1">
      <c r="A37" s="12" t="s">
        <v>476</v>
      </c>
      <c r="B37" s="179" t="str">
        <f>'Z_1.1.sz.mell.'!B37</f>
        <v>Gépjárműadó</v>
      </c>
      <c r="C37" s="167"/>
      <c r="D37" s="167"/>
      <c r="E37" s="103"/>
    </row>
    <row r="38" spans="1:5" s="178" customFormat="1" ht="12" customHeight="1">
      <c r="A38" s="12" t="s">
        <v>477</v>
      </c>
      <c r="B38" s="179" t="str">
        <f>'Z_1.1.sz.mell.'!B38</f>
        <v>Telekadó</v>
      </c>
      <c r="C38" s="167"/>
      <c r="D38" s="167"/>
      <c r="E38" s="103"/>
    </row>
    <row r="39" spans="1:5" s="178" customFormat="1" ht="12" customHeight="1" thickBot="1">
      <c r="A39" s="14" t="s">
        <v>478</v>
      </c>
      <c r="B39" s="179" t="str">
        <f>'Z_1.1.sz.mell.'!B39</f>
        <v>Egyéb közhatalmi bevételek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332</v>
      </c>
      <c r="C40" s="166">
        <f>SUM(C41:C51)</f>
        <v>317</v>
      </c>
      <c r="D40" s="166">
        <f>SUM(D41:D51)</f>
        <v>317</v>
      </c>
      <c r="E40" s="102">
        <f>SUM(E41:E51)</f>
        <v>305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/>
      <c r="D42" s="167"/>
      <c r="E42" s="103"/>
    </row>
    <row r="43" spans="1:5" s="178" customFormat="1" ht="12" customHeight="1">
      <c r="A43" s="12" t="s">
        <v>58</v>
      </c>
      <c r="B43" s="180" t="s">
        <v>186</v>
      </c>
      <c r="C43" s="167">
        <v>250</v>
      </c>
      <c r="D43" s="167">
        <v>250</v>
      </c>
      <c r="E43" s="103">
        <v>240</v>
      </c>
    </row>
    <row r="44" spans="1:5" s="178" customFormat="1" ht="12" customHeight="1">
      <c r="A44" s="12" t="s">
        <v>114</v>
      </c>
      <c r="B44" s="180" t="s">
        <v>187</v>
      </c>
      <c r="C44" s="167"/>
      <c r="D44" s="167"/>
      <c r="E44" s="103"/>
    </row>
    <row r="45" spans="1:5" s="178" customFormat="1" ht="12" customHeight="1">
      <c r="A45" s="12" t="s">
        <v>115</v>
      </c>
      <c r="B45" s="180" t="s">
        <v>188</v>
      </c>
      <c r="C45" s="167"/>
      <c r="D45" s="167"/>
      <c r="E45" s="103"/>
    </row>
    <row r="46" spans="1:5" s="178" customFormat="1" ht="12" customHeight="1">
      <c r="A46" s="12" t="s">
        <v>116</v>
      </c>
      <c r="B46" s="180" t="s">
        <v>189</v>
      </c>
      <c r="C46" s="167">
        <v>67</v>
      </c>
      <c r="D46" s="167">
        <v>67</v>
      </c>
      <c r="E46" s="103">
        <v>65</v>
      </c>
    </row>
    <row r="47" spans="1:5" s="178" customFormat="1" ht="12" customHeight="1">
      <c r="A47" s="12" t="s">
        <v>117</v>
      </c>
      <c r="B47" s="180" t="s">
        <v>190</v>
      </c>
      <c r="C47" s="167"/>
      <c r="D47" s="167"/>
      <c r="E47" s="103"/>
    </row>
    <row r="48" spans="1:5" s="178" customFormat="1" ht="12" customHeight="1">
      <c r="A48" s="12" t="s">
        <v>118</v>
      </c>
      <c r="B48" s="180" t="s">
        <v>479</v>
      </c>
      <c r="C48" s="167"/>
      <c r="D48" s="167"/>
      <c r="E48" s="103"/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334</v>
      </c>
      <c r="C50" s="171"/>
      <c r="D50" s="171"/>
      <c r="E50" s="107"/>
    </row>
    <row r="51" spans="1:5" s="178" customFormat="1" ht="12" customHeight="1" thickBot="1">
      <c r="A51" s="14" t="s">
        <v>333</v>
      </c>
      <c r="B51" s="111" t="s">
        <v>193</v>
      </c>
      <c r="C51" s="171"/>
      <c r="D51" s="171"/>
      <c r="E51" s="107"/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59</v>
      </c>
      <c r="B53" s="179" t="s">
        <v>198</v>
      </c>
      <c r="C53" s="218"/>
      <c r="D53" s="218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/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327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4650</v>
      </c>
      <c r="D63" s="166">
        <f>SUM(D64:D66)</f>
        <v>4650</v>
      </c>
      <c r="E63" s="102">
        <f>SUM(E64:E66)</f>
        <v>170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328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>
        <v>4650</v>
      </c>
      <c r="D66" s="170">
        <v>4650</v>
      </c>
      <c r="E66" s="106">
        <v>170</v>
      </c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374</v>
      </c>
      <c r="B68" s="19" t="s">
        <v>214</v>
      </c>
      <c r="C68" s="172">
        <f>+C11+C18+C25+C32+C40+C52+C58+C63</f>
        <v>19482</v>
      </c>
      <c r="D68" s="172">
        <f>+D11+D18+D25+D32+D40+D52+D58+D63</f>
        <v>29339</v>
      </c>
      <c r="E68" s="207">
        <f>+E11+E18+E25+E32+E40+E52+E58+E63</f>
        <v>25340</v>
      </c>
    </row>
    <row r="69" spans="1:5" s="178" customFormat="1" ht="12" customHeight="1" thickBot="1">
      <c r="A69" s="219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243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252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253</v>
      </c>
      <c r="B72" s="228" t="s">
        <v>359</v>
      </c>
      <c r="C72" s="170"/>
      <c r="D72" s="170"/>
      <c r="E72" s="106"/>
    </row>
    <row r="73" spans="1:5" s="178" customFormat="1" ht="12" customHeight="1" thickBot="1">
      <c r="A73" s="219" t="s">
        <v>219</v>
      </c>
      <c r="B73" s="109" t="s">
        <v>220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221</v>
      </c>
      <c r="C74" s="170"/>
      <c r="D74" s="170"/>
      <c r="E74" s="106"/>
    </row>
    <row r="75" spans="1:5" s="178" customFormat="1" ht="12" customHeight="1">
      <c r="A75" s="12" t="s">
        <v>99</v>
      </c>
      <c r="B75" s="307" t="s">
        <v>485</v>
      </c>
      <c r="C75" s="170"/>
      <c r="D75" s="170"/>
      <c r="E75" s="106"/>
    </row>
    <row r="76" spans="1:5" s="178" customFormat="1" ht="12" customHeight="1">
      <c r="A76" s="12" t="s">
        <v>244</v>
      </c>
      <c r="B76" s="307" t="s">
        <v>222</v>
      </c>
      <c r="C76" s="170"/>
      <c r="D76" s="170"/>
      <c r="E76" s="106"/>
    </row>
    <row r="77" spans="1:5" s="178" customFormat="1" ht="12" customHeight="1" thickBot="1">
      <c r="A77" s="14" t="s">
        <v>245</v>
      </c>
      <c r="B77" s="308" t="s">
        <v>486</v>
      </c>
      <c r="C77" s="170"/>
      <c r="D77" s="170"/>
      <c r="E77" s="106"/>
    </row>
    <row r="78" spans="1:5" s="178" customFormat="1" ht="12" customHeight="1" thickBot="1">
      <c r="A78" s="219" t="s">
        <v>223</v>
      </c>
      <c r="B78" s="109" t="s">
        <v>224</v>
      </c>
      <c r="C78" s="166">
        <f>SUM(C79:C80)</f>
        <v>0</v>
      </c>
      <c r="D78" s="166">
        <f>SUM(D79:D80)</f>
        <v>0</v>
      </c>
      <c r="E78" s="102">
        <f>SUM(E79:E80)</f>
        <v>0</v>
      </c>
    </row>
    <row r="79" spans="1:5" s="178" customFormat="1" ht="12" customHeight="1">
      <c r="A79" s="13" t="s">
        <v>246</v>
      </c>
      <c r="B79" s="179" t="s">
        <v>225</v>
      </c>
      <c r="C79" s="170"/>
      <c r="D79" s="170"/>
      <c r="E79" s="106"/>
    </row>
    <row r="80" spans="1:5" s="178" customFormat="1" ht="12" customHeight="1" thickBot="1">
      <c r="A80" s="14" t="s">
        <v>247</v>
      </c>
      <c r="B80" s="111" t="s">
        <v>226</v>
      </c>
      <c r="C80" s="170"/>
      <c r="D80" s="170"/>
      <c r="E80" s="106"/>
    </row>
    <row r="81" spans="1:5" s="178" customFormat="1" ht="12" customHeight="1" thickBot="1">
      <c r="A81" s="219" t="s">
        <v>227</v>
      </c>
      <c r="B81" s="109" t="s">
        <v>228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248</v>
      </c>
      <c r="B82" s="179" t="s">
        <v>229</v>
      </c>
      <c r="C82" s="170"/>
      <c r="D82" s="170"/>
      <c r="E82" s="106"/>
    </row>
    <row r="83" spans="1:5" s="178" customFormat="1" ht="12" customHeight="1">
      <c r="A83" s="12" t="s">
        <v>249</v>
      </c>
      <c r="B83" s="180" t="s">
        <v>230</v>
      </c>
      <c r="C83" s="170"/>
      <c r="D83" s="170"/>
      <c r="E83" s="106"/>
    </row>
    <row r="84" spans="1:5" s="178" customFormat="1" ht="12" customHeight="1" thickBot="1">
      <c r="A84" s="14" t="s">
        <v>250</v>
      </c>
      <c r="B84" s="111" t="s">
        <v>487</v>
      </c>
      <c r="C84" s="170"/>
      <c r="D84" s="170"/>
      <c r="E84" s="106"/>
    </row>
    <row r="85" spans="1:5" s="178" customFormat="1" ht="12" customHeight="1" thickBot="1">
      <c r="A85" s="219" t="s">
        <v>231</v>
      </c>
      <c r="B85" s="109" t="s">
        <v>251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2" t="s">
        <v>232</v>
      </c>
      <c r="B86" s="179" t="s">
        <v>233</v>
      </c>
      <c r="C86" s="170"/>
      <c r="D86" s="170"/>
      <c r="E86" s="106"/>
    </row>
    <row r="87" spans="1:5" s="178" customFormat="1" ht="12" customHeight="1">
      <c r="A87" s="183" t="s">
        <v>234</v>
      </c>
      <c r="B87" s="180" t="s">
        <v>235</v>
      </c>
      <c r="C87" s="170"/>
      <c r="D87" s="170"/>
      <c r="E87" s="106"/>
    </row>
    <row r="88" spans="1:5" s="178" customFormat="1" ht="12" customHeight="1">
      <c r="A88" s="183" t="s">
        <v>236</v>
      </c>
      <c r="B88" s="180" t="s">
        <v>237</v>
      </c>
      <c r="C88" s="170"/>
      <c r="D88" s="170"/>
      <c r="E88" s="106"/>
    </row>
    <row r="89" spans="1:5" s="178" customFormat="1" ht="12" customHeight="1" thickBot="1">
      <c r="A89" s="184" t="s">
        <v>238</v>
      </c>
      <c r="B89" s="111" t="s">
        <v>239</v>
      </c>
      <c r="C89" s="170"/>
      <c r="D89" s="170"/>
      <c r="E89" s="106"/>
    </row>
    <row r="90" spans="1:5" s="178" customFormat="1" ht="12" customHeight="1" thickBot="1">
      <c r="A90" s="219" t="s">
        <v>240</v>
      </c>
      <c r="B90" s="109" t="s">
        <v>373</v>
      </c>
      <c r="C90" s="221"/>
      <c r="D90" s="221"/>
      <c r="E90" s="222"/>
    </row>
    <row r="91" spans="1:5" s="178" customFormat="1" ht="13.5" customHeight="1" thickBot="1">
      <c r="A91" s="219" t="s">
        <v>242</v>
      </c>
      <c r="B91" s="109" t="s">
        <v>241</v>
      </c>
      <c r="C91" s="221"/>
      <c r="D91" s="221"/>
      <c r="E91" s="222"/>
    </row>
    <row r="92" spans="1:5" s="178" customFormat="1" ht="15.75" customHeight="1" thickBot="1">
      <c r="A92" s="219" t="s">
        <v>254</v>
      </c>
      <c r="B92" s="185" t="s">
        <v>376</v>
      </c>
      <c r="C92" s="172">
        <f>+C69+C73+C78+C81+C85+C91+C90</f>
        <v>0</v>
      </c>
      <c r="D92" s="172">
        <f>+D69+D73+D78+D81+D85+D91+D90</f>
        <v>0</v>
      </c>
      <c r="E92" s="207">
        <f>+E69+E73+E78+E81+E85+E91+E90</f>
        <v>0</v>
      </c>
    </row>
    <row r="93" spans="1:5" s="178" customFormat="1" ht="25.5" customHeight="1" thickBot="1">
      <c r="A93" s="220" t="s">
        <v>375</v>
      </c>
      <c r="B93" s="186" t="s">
        <v>377</v>
      </c>
      <c r="C93" s="172">
        <f>+C68+C92</f>
        <v>19482</v>
      </c>
      <c r="D93" s="172">
        <f>+D68+D92</f>
        <v>29339</v>
      </c>
      <c r="E93" s="207">
        <f>+E68+E92</f>
        <v>25340</v>
      </c>
    </row>
    <row r="94" spans="1:3" s="178" customFormat="1" ht="15" customHeight="1">
      <c r="A94" s="3"/>
      <c r="B94" s="4"/>
      <c r="C94" s="113"/>
    </row>
    <row r="95" spans="1:5" ht="16.5" customHeight="1">
      <c r="A95" s="917" t="s">
        <v>34</v>
      </c>
      <c r="B95" s="917"/>
      <c r="C95" s="917"/>
      <c r="D95" s="917"/>
      <c r="E95" s="917"/>
    </row>
    <row r="96" spans="1:5" s="187" customFormat="1" ht="16.5" customHeight="1" thickBot="1">
      <c r="A96" s="919" t="s">
        <v>101</v>
      </c>
      <c r="B96" s="919"/>
      <c r="C96" s="60"/>
      <c r="E96" s="60" t="str">
        <f>E7</f>
        <v>e  Forintban!</v>
      </c>
    </row>
    <row r="97" spans="1:5" ht="15.75">
      <c r="A97" s="908" t="s">
        <v>51</v>
      </c>
      <c r="B97" s="910" t="s">
        <v>416</v>
      </c>
      <c r="C97" s="912" t="str">
        <f>+CONCATENATE(LEFT(Z_ÖSSZEFÜGGÉSEK!A6,4),". évi")</f>
        <v>2019. évi</v>
      </c>
      <c r="D97" s="913"/>
      <c r="E97" s="914"/>
    </row>
    <row r="98" spans="1:5" ht="24.75" thickBot="1">
      <c r="A98" s="909"/>
      <c r="B98" s="911"/>
      <c r="C98" s="249" t="s">
        <v>414</v>
      </c>
      <c r="D98" s="248" t="s">
        <v>415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382</v>
      </c>
      <c r="B99" s="26" t="s">
        <v>383</v>
      </c>
      <c r="C99" s="26" t="s">
        <v>384</v>
      </c>
      <c r="D99" s="26" t="s">
        <v>386</v>
      </c>
      <c r="E99" s="260" t="s">
        <v>385</v>
      </c>
    </row>
    <row r="100" spans="1:5" ht="12" customHeight="1" thickBot="1">
      <c r="A100" s="20" t="s">
        <v>6</v>
      </c>
      <c r="B100" s="24" t="s">
        <v>335</v>
      </c>
      <c r="C100" s="165">
        <f>C101+C102+C103+C104+C105+C118</f>
        <v>59276</v>
      </c>
      <c r="D100" s="165">
        <f>D101+D102+D103+D104+D105+D118</f>
        <v>58126</v>
      </c>
      <c r="E100" s="235">
        <f>E101+E102+E103+E104+E105+E118</f>
        <v>53531</v>
      </c>
    </row>
    <row r="101" spans="1:5" ht="12" customHeight="1">
      <c r="A101" s="15" t="s">
        <v>63</v>
      </c>
      <c r="B101" s="8" t="s">
        <v>35</v>
      </c>
      <c r="C101" s="242">
        <v>14699</v>
      </c>
      <c r="D101" s="242">
        <v>16700</v>
      </c>
      <c r="E101" s="236">
        <v>13987</v>
      </c>
    </row>
    <row r="102" spans="1:5" ht="12" customHeight="1">
      <c r="A102" s="12" t="s">
        <v>64</v>
      </c>
      <c r="B102" s="6" t="s">
        <v>122</v>
      </c>
      <c r="C102" s="167">
        <v>1433</v>
      </c>
      <c r="D102" s="167">
        <v>2022</v>
      </c>
      <c r="E102" s="103">
        <v>1515</v>
      </c>
    </row>
    <row r="103" spans="1:5" ht="12" customHeight="1">
      <c r="A103" s="12" t="s">
        <v>65</v>
      </c>
      <c r="B103" s="6" t="s">
        <v>90</v>
      </c>
      <c r="C103" s="169">
        <v>3946</v>
      </c>
      <c r="D103" s="169">
        <v>1456</v>
      </c>
      <c r="E103" s="105">
        <v>81</v>
      </c>
    </row>
    <row r="104" spans="1:5" ht="12" customHeight="1">
      <c r="A104" s="12" t="s">
        <v>66</v>
      </c>
      <c r="B104" s="9" t="s">
        <v>123</v>
      </c>
      <c r="C104" s="169">
        <v>3000</v>
      </c>
      <c r="D104" s="169">
        <v>0</v>
      </c>
      <c r="E104" s="105"/>
    </row>
    <row r="105" spans="1:5" ht="12" customHeight="1">
      <c r="A105" s="12" t="s">
        <v>75</v>
      </c>
      <c r="B105" s="17" t="s">
        <v>124</v>
      </c>
      <c r="C105" s="169">
        <v>36198</v>
      </c>
      <c r="D105" s="169">
        <v>37948</v>
      </c>
      <c r="E105" s="105">
        <v>37948</v>
      </c>
    </row>
    <row r="106" spans="1:5" ht="12" customHeight="1">
      <c r="A106" s="12" t="s">
        <v>67</v>
      </c>
      <c r="B106" s="6" t="s">
        <v>340</v>
      </c>
      <c r="C106" s="169"/>
      <c r="D106" s="169">
        <v>0</v>
      </c>
      <c r="E106" s="105"/>
    </row>
    <row r="107" spans="1:5" ht="12" customHeight="1">
      <c r="A107" s="12" t="s">
        <v>68</v>
      </c>
      <c r="B107" s="64" t="s">
        <v>339</v>
      </c>
      <c r="C107" s="169"/>
      <c r="D107" s="169">
        <v>0</v>
      </c>
      <c r="E107" s="105"/>
    </row>
    <row r="108" spans="1:5" ht="12" customHeight="1">
      <c r="A108" s="12" t="s">
        <v>76</v>
      </c>
      <c r="B108" s="64" t="s">
        <v>338</v>
      </c>
      <c r="C108" s="169"/>
      <c r="D108" s="169">
        <v>0</v>
      </c>
      <c r="E108" s="105"/>
    </row>
    <row r="109" spans="1:5" ht="12" customHeight="1">
      <c r="A109" s="12" t="s">
        <v>77</v>
      </c>
      <c r="B109" s="62" t="s">
        <v>257</v>
      </c>
      <c r="C109" s="169"/>
      <c r="D109" s="169">
        <v>0</v>
      </c>
      <c r="E109" s="105"/>
    </row>
    <row r="110" spans="1:5" ht="12" customHeight="1">
      <c r="A110" s="12" t="s">
        <v>78</v>
      </c>
      <c r="B110" s="63" t="s">
        <v>258</v>
      </c>
      <c r="C110" s="169"/>
      <c r="D110" s="169">
        <v>0</v>
      </c>
      <c r="E110" s="105"/>
    </row>
    <row r="111" spans="1:5" ht="12" customHeight="1">
      <c r="A111" s="12" t="s">
        <v>79</v>
      </c>
      <c r="B111" s="63" t="s">
        <v>259</v>
      </c>
      <c r="C111" s="169"/>
      <c r="D111" s="169">
        <v>0</v>
      </c>
      <c r="E111" s="105"/>
    </row>
    <row r="112" spans="1:5" ht="12" customHeight="1">
      <c r="A112" s="12" t="s">
        <v>81</v>
      </c>
      <c r="B112" s="62" t="s">
        <v>260</v>
      </c>
      <c r="C112" s="169"/>
      <c r="D112" s="169">
        <v>0</v>
      </c>
      <c r="E112" s="105"/>
    </row>
    <row r="113" spans="1:5" ht="12" customHeight="1">
      <c r="A113" s="12" t="s">
        <v>125</v>
      </c>
      <c r="B113" s="62" t="s">
        <v>261</v>
      </c>
      <c r="C113" s="169"/>
      <c r="D113" s="169">
        <v>0</v>
      </c>
      <c r="E113" s="105"/>
    </row>
    <row r="114" spans="1:5" ht="12" customHeight="1">
      <c r="A114" s="12" t="s">
        <v>255</v>
      </c>
      <c r="B114" s="63" t="s">
        <v>262</v>
      </c>
      <c r="C114" s="169"/>
      <c r="D114" s="169">
        <v>0</v>
      </c>
      <c r="E114" s="105"/>
    </row>
    <row r="115" spans="1:5" ht="12" customHeight="1">
      <c r="A115" s="11" t="s">
        <v>256</v>
      </c>
      <c r="B115" s="64" t="s">
        <v>263</v>
      </c>
      <c r="C115" s="169"/>
      <c r="D115" s="169">
        <v>0</v>
      </c>
      <c r="E115" s="105"/>
    </row>
    <row r="116" spans="1:5" ht="12" customHeight="1">
      <c r="A116" s="12" t="s">
        <v>336</v>
      </c>
      <c r="B116" s="64" t="s">
        <v>264</v>
      </c>
      <c r="C116" s="169"/>
      <c r="D116" s="169">
        <v>0</v>
      </c>
      <c r="E116" s="105"/>
    </row>
    <row r="117" spans="1:5" ht="12" customHeight="1">
      <c r="A117" s="14" t="s">
        <v>337</v>
      </c>
      <c r="B117" s="64" t="s">
        <v>265</v>
      </c>
      <c r="C117" s="169">
        <v>36198</v>
      </c>
      <c r="D117" s="169">
        <v>37948</v>
      </c>
      <c r="E117" s="105">
        <v>37948</v>
      </c>
    </row>
    <row r="118" spans="1:5" ht="12" customHeight="1">
      <c r="A118" s="12" t="s">
        <v>341</v>
      </c>
      <c r="B118" s="9" t="s">
        <v>36</v>
      </c>
      <c r="C118" s="167"/>
      <c r="D118" s="167"/>
      <c r="E118" s="103"/>
    </row>
    <row r="119" spans="1:5" ht="12" customHeight="1">
      <c r="A119" s="12" t="s">
        <v>342</v>
      </c>
      <c r="B119" s="6" t="s">
        <v>344</v>
      </c>
      <c r="C119" s="167"/>
      <c r="D119" s="167"/>
      <c r="E119" s="103"/>
    </row>
    <row r="120" spans="1:5" ht="12" customHeight="1" thickBot="1">
      <c r="A120" s="16" t="s">
        <v>343</v>
      </c>
      <c r="B120" s="231" t="s">
        <v>345</v>
      </c>
      <c r="C120" s="243"/>
      <c r="D120" s="243"/>
      <c r="E120" s="237"/>
    </row>
    <row r="121" spans="1:5" ht="12" customHeight="1" thickBot="1">
      <c r="A121" s="229" t="s">
        <v>7</v>
      </c>
      <c r="B121" s="230" t="s">
        <v>266</v>
      </c>
      <c r="C121" s="244">
        <f>+C122+C124+C126</f>
        <v>16983</v>
      </c>
      <c r="D121" s="166">
        <f>+D122+D124+D126</f>
        <v>17625</v>
      </c>
      <c r="E121" s="238">
        <f>+E122+E124+E126</f>
        <v>17473</v>
      </c>
    </row>
    <row r="122" spans="1:5" ht="12" customHeight="1">
      <c r="A122" s="13" t="s">
        <v>69</v>
      </c>
      <c r="B122" s="6" t="s">
        <v>143</v>
      </c>
      <c r="C122" s="168">
        <v>14983</v>
      </c>
      <c r="D122" s="253">
        <v>17473</v>
      </c>
      <c r="E122" s="104">
        <v>17473</v>
      </c>
    </row>
    <row r="123" spans="1:5" ht="12" customHeight="1">
      <c r="A123" s="13" t="s">
        <v>70</v>
      </c>
      <c r="B123" s="10" t="s">
        <v>270</v>
      </c>
      <c r="C123" s="168">
        <v>14983</v>
      </c>
      <c r="D123" s="253">
        <v>17473</v>
      </c>
      <c r="E123" s="104">
        <v>17473</v>
      </c>
    </row>
    <row r="124" spans="1:5" ht="12" customHeight="1">
      <c r="A124" s="13" t="s">
        <v>71</v>
      </c>
      <c r="B124" s="10" t="s">
        <v>126</v>
      </c>
      <c r="C124" s="167">
        <v>2000</v>
      </c>
      <c r="D124" s="254">
        <v>152</v>
      </c>
      <c r="E124" s="103"/>
    </row>
    <row r="125" spans="1:5" ht="12" customHeight="1">
      <c r="A125" s="13" t="s">
        <v>72</v>
      </c>
      <c r="B125" s="10" t="s">
        <v>271</v>
      </c>
      <c r="C125" s="167"/>
      <c r="D125" s="254">
        <v>0</v>
      </c>
      <c r="E125" s="103"/>
    </row>
    <row r="126" spans="1:5" ht="12" customHeight="1">
      <c r="A126" s="13" t="s">
        <v>73</v>
      </c>
      <c r="B126" s="111" t="s">
        <v>145</v>
      </c>
      <c r="C126" s="167"/>
      <c r="D126" s="254">
        <v>0</v>
      </c>
      <c r="E126" s="103"/>
    </row>
    <row r="127" spans="1:5" ht="12" customHeight="1">
      <c r="A127" s="13" t="s">
        <v>80</v>
      </c>
      <c r="B127" s="110" t="s">
        <v>329</v>
      </c>
      <c r="C127" s="167"/>
      <c r="D127" s="254">
        <v>0</v>
      </c>
      <c r="E127" s="103"/>
    </row>
    <row r="128" spans="1:5" ht="12" customHeight="1">
      <c r="A128" s="13" t="s">
        <v>82</v>
      </c>
      <c r="B128" s="175" t="s">
        <v>276</v>
      </c>
      <c r="C128" s="167"/>
      <c r="D128" s="254">
        <v>0</v>
      </c>
      <c r="E128" s="103"/>
    </row>
    <row r="129" spans="1:5" ht="15.75">
      <c r="A129" s="13" t="s">
        <v>127</v>
      </c>
      <c r="B129" s="63" t="s">
        <v>259</v>
      </c>
      <c r="C129" s="167"/>
      <c r="D129" s="254">
        <v>0</v>
      </c>
      <c r="E129" s="103"/>
    </row>
    <row r="130" spans="1:5" ht="12" customHeight="1">
      <c r="A130" s="13" t="s">
        <v>128</v>
      </c>
      <c r="B130" s="63" t="s">
        <v>275</v>
      </c>
      <c r="C130" s="167"/>
      <c r="D130" s="254">
        <v>0</v>
      </c>
      <c r="E130" s="103"/>
    </row>
    <row r="131" spans="1:5" ht="12" customHeight="1">
      <c r="A131" s="13" t="s">
        <v>129</v>
      </c>
      <c r="B131" s="63" t="s">
        <v>274</v>
      </c>
      <c r="C131" s="167"/>
      <c r="D131" s="254">
        <v>0</v>
      </c>
      <c r="E131" s="103"/>
    </row>
    <row r="132" spans="1:5" ht="12" customHeight="1">
      <c r="A132" s="13" t="s">
        <v>267</v>
      </c>
      <c r="B132" s="63" t="s">
        <v>262</v>
      </c>
      <c r="C132" s="167"/>
      <c r="D132" s="254">
        <v>0</v>
      </c>
      <c r="E132" s="103"/>
    </row>
    <row r="133" spans="1:5" ht="12" customHeight="1">
      <c r="A133" s="13" t="s">
        <v>268</v>
      </c>
      <c r="B133" s="63" t="s">
        <v>273</v>
      </c>
      <c r="C133" s="167"/>
      <c r="D133" s="254">
        <v>0</v>
      </c>
      <c r="E133" s="103"/>
    </row>
    <row r="134" spans="1:5" ht="16.5" thickBot="1">
      <c r="A134" s="11" t="s">
        <v>269</v>
      </c>
      <c r="B134" s="63" t="s">
        <v>272</v>
      </c>
      <c r="C134" s="169"/>
      <c r="D134" s="255">
        <v>0</v>
      </c>
      <c r="E134" s="105"/>
    </row>
    <row r="135" spans="1:5" ht="12" customHeight="1" thickBot="1">
      <c r="A135" s="18" t="s">
        <v>8</v>
      </c>
      <c r="B135" s="56" t="s">
        <v>346</v>
      </c>
      <c r="C135" s="166">
        <f>+C100+C121</f>
        <v>76259</v>
      </c>
      <c r="D135" s="252">
        <f>+D100+D121</f>
        <v>75751</v>
      </c>
      <c r="E135" s="102">
        <f>+E100+E121</f>
        <v>71004</v>
      </c>
    </row>
    <row r="136" spans="1:5" ht="12" customHeight="1" thickBot="1">
      <c r="A136" s="18" t="s">
        <v>9</v>
      </c>
      <c r="B136" s="56" t="s">
        <v>417</v>
      </c>
      <c r="C136" s="166">
        <f>+C137+C138+C139</f>
        <v>0</v>
      </c>
      <c r="D136" s="252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354</v>
      </c>
      <c r="C137" s="167"/>
      <c r="D137" s="254"/>
      <c r="E137" s="103"/>
    </row>
    <row r="138" spans="1:5" ht="12" customHeight="1">
      <c r="A138" s="13" t="s">
        <v>178</v>
      </c>
      <c r="B138" s="10" t="s">
        <v>355</v>
      </c>
      <c r="C138" s="167"/>
      <c r="D138" s="254"/>
      <c r="E138" s="103"/>
    </row>
    <row r="139" spans="1:5" ht="12" customHeight="1" thickBot="1">
      <c r="A139" s="11" t="s">
        <v>179</v>
      </c>
      <c r="B139" s="10" t="s">
        <v>356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348</v>
      </c>
      <c r="C140" s="166">
        <f>SUM(C141:C146)</f>
        <v>0</v>
      </c>
      <c r="D140" s="252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357</v>
      </c>
      <c r="C141" s="167"/>
      <c r="D141" s="254"/>
      <c r="E141" s="103"/>
    </row>
    <row r="142" spans="1:5" ht="12" customHeight="1">
      <c r="A142" s="13" t="s">
        <v>57</v>
      </c>
      <c r="B142" s="7" t="s">
        <v>349</v>
      </c>
      <c r="C142" s="167"/>
      <c r="D142" s="254"/>
      <c r="E142" s="103"/>
    </row>
    <row r="143" spans="1:5" ht="12" customHeight="1">
      <c r="A143" s="13" t="s">
        <v>58</v>
      </c>
      <c r="B143" s="7" t="s">
        <v>350</v>
      </c>
      <c r="C143" s="167"/>
      <c r="D143" s="254"/>
      <c r="E143" s="103"/>
    </row>
    <row r="144" spans="1:5" ht="12" customHeight="1">
      <c r="A144" s="13" t="s">
        <v>114</v>
      </c>
      <c r="B144" s="7" t="s">
        <v>351</v>
      </c>
      <c r="C144" s="167"/>
      <c r="D144" s="254"/>
      <c r="E144" s="103"/>
    </row>
    <row r="145" spans="1:5" ht="12" customHeight="1">
      <c r="A145" s="13" t="s">
        <v>115</v>
      </c>
      <c r="B145" s="7" t="s">
        <v>352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353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361</v>
      </c>
      <c r="C147" s="172">
        <f>+C148+C149+C150+C151</f>
        <v>0</v>
      </c>
      <c r="D147" s="256">
        <f>+D148+D149+D150+D151</f>
        <v>0</v>
      </c>
      <c r="E147" s="207">
        <f>+E148+E149+E150+E151</f>
        <v>0</v>
      </c>
    </row>
    <row r="148" spans="1:5" ht="12" customHeight="1">
      <c r="A148" s="13" t="s">
        <v>59</v>
      </c>
      <c r="B148" s="7" t="s">
        <v>277</v>
      </c>
      <c r="C148" s="167"/>
      <c r="D148" s="254"/>
      <c r="E148" s="103"/>
    </row>
    <row r="149" spans="1:5" ht="12" customHeight="1">
      <c r="A149" s="13" t="s">
        <v>60</v>
      </c>
      <c r="B149" s="7" t="s">
        <v>278</v>
      </c>
      <c r="C149" s="167"/>
      <c r="D149" s="254"/>
      <c r="E149" s="103"/>
    </row>
    <row r="150" spans="1:5" ht="12" customHeight="1">
      <c r="A150" s="13" t="s">
        <v>195</v>
      </c>
      <c r="B150" s="7" t="s">
        <v>362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294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363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358</v>
      </c>
      <c r="C153" s="167"/>
      <c r="D153" s="254"/>
      <c r="E153" s="103"/>
    </row>
    <row r="154" spans="1:5" ht="12" customHeight="1">
      <c r="A154" s="13" t="s">
        <v>62</v>
      </c>
      <c r="B154" s="7" t="s">
        <v>365</v>
      </c>
      <c r="C154" s="167"/>
      <c r="D154" s="254"/>
      <c r="E154" s="103"/>
    </row>
    <row r="155" spans="1:5" ht="12" customHeight="1">
      <c r="A155" s="13" t="s">
        <v>207</v>
      </c>
      <c r="B155" s="7" t="s">
        <v>360</v>
      </c>
      <c r="C155" s="167"/>
      <c r="D155" s="254"/>
      <c r="E155" s="103"/>
    </row>
    <row r="156" spans="1:5" ht="12" customHeight="1">
      <c r="A156" s="13" t="s">
        <v>208</v>
      </c>
      <c r="B156" s="7" t="s">
        <v>366</v>
      </c>
      <c r="C156" s="167"/>
      <c r="D156" s="254"/>
      <c r="E156" s="103"/>
    </row>
    <row r="157" spans="1:5" ht="12" customHeight="1" thickBot="1">
      <c r="A157" s="13" t="s">
        <v>364</v>
      </c>
      <c r="B157" s="7" t="s">
        <v>367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368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369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371</v>
      </c>
      <c r="C160" s="247">
        <f>+C136+C140+C147+C152+C158+C159</f>
        <v>0</v>
      </c>
      <c r="D160" s="259">
        <f>+D136+D140+D147+D152+D158+D159</f>
        <v>0</v>
      </c>
      <c r="E160" s="241">
        <f>+E136+E140+E147+E152+E158+E159</f>
        <v>0</v>
      </c>
      <c r="F160" s="188"/>
      <c r="G160" s="189"/>
      <c r="H160" s="189"/>
      <c r="I160" s="189"/>
    </row>
    <row r="161" spans="1:5" s="178" customFormat="1" ht="12.75" customHeight="1" thickBot="1">
      <c r="A161" s="112" t="s">
        <v>16</v>
      </c>
      <c r="B161" s="153" t="s">
        <v>370</v>
      </c>
      <c r="C161" s="247">
        <f>+C135+C160</f>
        <v>76259</v>
      </c>
      <c r="D161" s="259">
        <f>+D135+D160</f>
        <v>75751</v>
      </c>
      <c r="E161" s="241">
        <f>+E135+E160</f>
        <v>71004</v>
      </c>
    </row>
    <row r="162" spans="3:4" ht="15.75">
      <c r="C162" s="592">
        <f>C93-C161</f>
        <v>-56777</v>
      </c>
      <c r="D162" s="592">
        <f>D93-D161</f>
        <v>-46412</v>
      </c>
    </row>
    <row r="163" spans="1:5" ht="15.75">
      <c r="A163" s="915" t="s">
        <v>279</v>
      </c>
      <c r="B163" s="915"/>
      <c r="C163" s="915"/>
      <c r="D163" s="915"/>
      <c r="E163" s="915"/>
    </row>
    <row r="164" spans="1:5" ht="15" customHeight="1" thickBot="1">
      <c r="A164" s="907" t="s">
        <v>102</v>
      </c>
      <c r="B164" s="907"/>
      <c r="C164" s="114"/>
      <c r="E164" s="114" t="str">
        <f>E96</f>
        <v>e  Forintban!</v>
      </c>
    </row>
    <row r="165" spans="1:5" ht="25.5" customHeight="1" thickBot="1">
      <c r="A165" s="18">
        <v>1</v>
      </c>
      <c r="B165" s="23" t="s">
        <v>372</v>
      </c>
      <c r="C165" s="251">
        <f>+C68-C135</f>
        <v>-56777</v>
      </c>
      <c r="D165" s="166">
        <f>+D68-D135</f>
        <v>-46412</v>
      </c>
      <c r="E165" s="102">
        <f>+E68-E135</f>
        <v>-45664</v>
      </c>
    </row>
    <row r="166" spans="1:5" ht="32.25" customHeight="1" thickBot="1">
      <c r="A166" s="18" t="s">
        <v>7</v>
      </c>
      <c r="B166" s="23" t="s">
        <v>378</v>
      </c>
      <c r="C166" s="166">
        <f>+C92-C160</f>
        <v>0</v>
      </c>
      <c r="D166" s="166">
        <f>+D92-D160</f>
        <v>0</v>
      </c>
      <c r="E166" s="102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2755905511811024" right="0.2755905511811024" top="0.8661417322834646" bottom="0.6692913385826772" header="0" footer="0"/>
  <pageSetup fitToHeight="2" fitToWidth="1" horizontalDpi="600" verticalDpi="600" orientation="portrait" paperSize="9" scale="68" r:id="rId1"/>
  <headerFooter alignWithMargins="0">
    <oddFooter>&amp;C&amp;P</oddFooter>
  </headerFooter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90" zoomScaleNormal="90" zoomScaleSheetLayoutView="130" workbookViewId="0" topLeftCell="A1">
      <selection activeCell="R21" sqref="R21"/>
    </sheetView>
  </sheetViews>
  <sheetFormatPr defaultColWidth="9.00390625" defaultRowHeight="12.75"/>
  <cols>
    <col min="1" max="1" width="6.875" style="32" customWidth="1"/>
    <col min="2" max="2" width="48.00390625" style="71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338"/>
      <c r="B1" s="344" t="s">
        <v>106</v>
      </c>
      <c r="C1" s="345"/>
      <c r="D1" s="345"/>
      <c r="E1" s="345"/>
      <c r="F1" s="345"/>
      <c r="G1" s="345"/>
      <c r="H1" s="345"/>
      <c r="I1" s="345"/>
      <c r="J1" s="923" t="str">
        <f>CONCATENATE("2.1. melléklet ",Z_ALAPADATOK!A7," ",Z_ALAPADATOK!B7," ",Z_ALAPADATOK!C7," ",Z_ALAPADATOK!D7," ",Z_ALAPADATOK!E7," ",Z_ALAPADATOK!F7," ",Z_ALAPADATOK!G7," ",Z_ALAPADATOK!H7)</f>
        <v>2.1. melléklet a … / 2020. ( … ) önkormányzati rendelethez</v>
      </c>
    </row>
    <row r="2" spans="1:10" ht="14.25" thickBot="1">
      <c r="A2" s="338"/>
      <c r="B2" s="337"/>
      <c r="C2" s="338"/>
      <c r="D2" s="338"/>
      <c r="E2" s="338"/>
      <c r="F2" s="338"/>
      <c r="G2" s="346"/>
      <c r="H2" s="346"/>
      <c r="I2" s="346" t="str">
        <f>CONCATENATE('Z_1.4.sz.mell.'!E7)</f>
        <v>e  Forintban!</v>
      </c>
      <c r="J2" s="923"/>
    </row>
    <row r="3" spans="1:10" ht="18" customHeight="1" thickBot="1">
      <c r="A3" s="920" t="s">
        <v>51</v>
      </c>
      <c r="B3" s="347" t="s">
        <v>39</v>
      </c>
      <c r="C3" s="348"/>
      <c r="D3" s="349"/>
      <c r="E3" s="349"/>
      <c r="F3" s="347" t="s">
        <v>40</v>
      </c>
      <c r="G3" s="350"/>
      <c r="H3" s="351"/>
      <c r="I3" s="352"/>
      <c r="J3" s="923"/>
    </row>
    <row r="4" spans="1:10" s="122" customFormat="1" ht="35.25" customHeight="1" thickBot="1">
      <c r="A4" s="921"/>
      <c r="B4" s="340" t="s">
        <v>44</v>
      </c>
      <c r="C4" s="312" t="str">
        <f>+CONCATENATE('Z_1.1.sz.mell.'!C8," eredeti előirányzat")</f>
        <v>2019. évi eredeti előirányzat</v>
      </c>
      <c r="D4" s="310" t="str">
        <f>+CONCATENATE('Z_1.1.sz.mell.'!C8," módosított előirányzat")</f>
        <v>2019. évi módosított előirányzat</v>
      </c>
      <c r="E4" s="310" t="str">
        <f>CONCATENATE('Z_1.4.sz.mell.'!E9)</f>
        <v>2019. XII. 31.
teljesítés</v>
      </c>
      <c r="F4" s="340" t="s">
        <v>44</v>
      </c>
      <c r="G4" s="312" t="str">
        <f>+C4</f>
        <v>2019. évi eredeti előirányzat</v>
      </c>
      <c r="H4" s="312" t="str">
        <f>+D4</f>
        <v>2019. évi módosított előirányzat</v>
      </c>
      <c r="I4" s="311" t="str">
        <f>+E4</f>
        <v>2019. XII. 31.
teljesítés</v>
      </c>
      <c r="J4" s="923"/>
    </row>
    <row r="5" spans="1:10" s="123" customFormat="1" ht="12" customHeight="1" thickBot="1">
      <c r="A5" s="353" t="s">
        <v>382</v>
      </c>
      <c r="B5" s="354" t="s">
        <v>383</v>
      </c>
      <c r="C5" s="355" t="s">
        <v>384</v>
      </c>
      <c r="D5" s="358" t="s">
        <v>386</v>
      </c>
      <c r="E5" s="358" t="s">
        <v>385</v>
      </c>
      <c r="F5" s="354" t="s">
        <v>418</v>
      </c>
      <c r="G5" s="355" t="s">
        <v>388</v>
      </c>
      <c r="H5" s="355" t="s">
        <v>389</v>
      </c>
      <c r="I5" s="359" t="s">
        <v>419</v>
      </c>
      <c r="J5" s="923"/>
    </row>
    <row r="6" spans="1:10" ht="12.75" customHeight="1">
      <c r="A6" s="124" t="s">
        <v>6</v>
      </c>
      <c r="B6" s="125" t="s">
        <v>280</v>
      </c>
      <c r="C6" s="686">
        <v>489562</v>
      </c>
      <c r="D6" s="686">
        <v>554745</v>
      </c>
      <c r="E6" s="115">
        <v>554745</v>
      </c>
      <c r="F6" s="125" t="s">
        <v>45</v>
      </c>
      <c r="G6" s="686">
        <v>177288</v>
      </c>
      <c r="H6" s="115">
        <v>175307</v>
      </c>
      <c r="I6" s="265">
        <v>173375</v>
      </c>
      <c r="J6" s="923"/>
    </row>
    <row r="7" spans="1:10" ht="12.75" customHeight="1">
      <c r="A7" s="126" t="s">
        <v>7</v>
      </c>
      <c r="B7" s="127" t="s">
        <v>281</v>
      </c>
      <c r="C7" s="687">
        <v>91243</v>
      </c>
      <c r="D7" s="686">
        <v>121448</v>
      </c>
      <c r="E7" s="116">
        <v>123477</v>
      </c>
      <c r="F7" s="127" t="s">
        <v>122</v>
      </c>
      <c r="G7" s="687">
        <v>33247</v>
      </c>
      <c r="H7" s="116">
        <v>32211</v>
      </c>
      <c r="I7" s="266">
        <v>32149</v>
      </c>
      <c r="J7" s="923"/>
    </row>
    <row r="8" spans="1:10" ht="12.75" customHeight="1">
      <c r="A8" s="126" t="s">
        <v>8</v>
      </c>
      <c r="B8" s="127" t="s">
        <v>299</v>
      </c>
      <c r="C8" s="687"/>
      <c r="D8" s="686">
        <v>0</v>
      </c>
      <c r="E8" s="116"/>
      <c r="F8" s="127" t="s">
        <v>148</v>
      </c>
      <c r="G8" s="687">
        <v>464611</v>
      </c>
      <c r="H8" s="116">
        <v>324571</v>
      </c>
      <c r="I8" s="266">
        <v>311742</v>
      </c>
      <c r="J8" s="923"/>
    </row>
    <row r="9" spans="1:10" ht="12.75" customHeight="1">
      <c r="A9" s="126" t="s">
        <v>9</v>
      </c>
      <c r="B9" s="127" t="s">
        <v>113</v>
      </c>
      <c r="C9" s="687">
        <v>316805</v>
      </c>
      <c r="D9" s="686">
        <v>362805</v>
      </c>
      <c r="E9" s="116">
        <v>363976</v>
      </c>
      <c r="F9" s="127" t="s">
        <v>123</v>
      </c>
      <c r="G9" s="687">
        <v>24631</v>
      </c>
      <c r="H9" s="116">
        <v>16020</v>
      </c>
      <c r="I9" s="266">
        <v>12287</v>
      </c>
      <c r="J9" s="923"/>
    </row>
    <row r="10" spans="1:10" ht="12.75" customHeight="1">
      <c r="A10" s="126" t="s">
        <v>10</v>
      </c>
      <c r="B10" s="128" t="s">
        <v>322</v>
      </c>
      <c r="C10" s="687">
        <v>245907</v>
      </c>
      <c r="D10" s="686">
        <v>172711</v>
      </c>
      <c r="E10" s="116">
        <v>174405</v>
      </c>
      <c r="F10" s="127" t="s">
        <v>124</v>
      </c>
      <c r="G10" s="687">
        <v>550477</v>
      </c>
      <c r="H10" s="116">
        <v>576001</v>
      </c>
      <c r="I10" s="266">
        <v>570990</v>
      </c>
      <c r="J10" s="923"/>
    </row>
    <row r="11" spans="1:10" ht="12.75" customHeight="1">
      <c r="A11" s="126" t="s">
        <v>11</v>
      </c>
      <c r="B11" s="127" t="s">
        <v>282</v>
      </c>
      <c r="C11" s="688"/>
      <c r="D11" s="686">
        <v>4310</v>
      </c>
      <c r="E11" s="117">
        <v>4387</v>
      </c>
      <c r="F11" s="127" t="s">
        <v>36</v>
      </c>
      <c r="G11" s="687">
        <v>15044</v>
      </c>
      <c r="H11" s="116">
        <v>132123</v>
      </c>
      <c r="I11" s="266"/>
      <c r="J11" s="923"/>
    </row>
    <row r="12" spans="1:10" ht="12.75" customHeight="1">
      <c r="A12" s="126" t="s">
        <v>12</v>
      </c>
      <c r="B12" s="127" t="s">
        <v>379</v>
      </c>
      <c r="C12" s="116"/>
      <c r="D12" s="116"/>
      <c r="E12" s="116"/>
      <c r="F12" s="30"/>
      <c r="G12" s="687">
        <v>8660</v>
      </c>
      <c r="H12" s="116">
        <v>10654</v>
      </c>
      <c r="I12" s="266"/>
      <c r="J12" s="923"/>
    </row>
    <row r="13" spans="1:10" ht="12.75" customHeight="1">
      <c r="A13" s="126" t="s">
        <v>13</v>
      </c>
      <c r="B13" s="30"/>
      <c r="C13" s="116"/>
      <c r="D13" s="116"/>
      <c r="E13" s="116"/>
      <c r="F13" s="30"/>
      <c r="G13" s="116"/>
      <c r="H13" s="116"/>
      <c r="I13" s="266"/>
      <c r="J13" s="923"/>
    </row>
    <row r="14" spans="1:10" ht="12.75" customHeight="1">
      <c r="A14" s="126" t="s">
        <v>14</v>
      </c>
      <c r="B14" s="190"/>
      <c r="C14" s="117"/>
      <c r="D14" s="117"/>
      <c r="E14" s="117"/>
      <c r="F14" s="30"/>
      <c r="G14" s="116"/>
      <c r="H14" s="116"/>
      <c r="I14" s="266"/>
      <c r="J14" s="923"/>
    </row>
    <row r="15" spans="1:10" ht="12.75" customHeight="1">
      <c r="A15" s="126" t="s">
        <v>15</v>
      </c>
      <c r="B15" s="30"/>
      <c r="C15" s="116"/>
      <c r="D15" s="116"/>
      <c r="E15" s="116"/>
      <c r="F15" s="30"/>
      <c r="G15" s="116"/>
      <c r="H15" s="116"/>
      <c r="I15" s="266"/>
      <c r="J15" s="923"/>
    </row>
    <row r="16" spans="1:10" ht="12.75" customHeight="1">
      <c r="A16" s="126" t="s">
        <v>16</v>
      </c>
      <c r="B16" s="30"/>
      <c r="C16" s="116"/>
      <c r="D16" s="116"/>
      <c r="E16" s="116"/>
      <c r="F16" s="30"/>
      <c r="G16" s="116"/>
      <c r="H16" s="116"/>
      <c r="I16" s="266"/>
      <c r="J16" s="923"/>
    </row>
    <row r="17" spans="1:10" ht="12.75" customHeight="1" thickBot="1">
      <c r="A17" s="126" t="s">
        <v>17</v>
      </c>
      <c r="B17" s="34"/>
      <c r="C17" s="118"/>
      <c r="D17" s="118"/>
      <c r="E17" s="118"/>
      <c r="F17" s="30"/>
      <c r="G17" s="118"/>
      <c r="H17" s="118"/>
      <c r="I17" s="267"/>
      <c r="J17" s="923"/>
    </row>
    <row r="18" spans="1:10" ht="21.75" thickBot="1">
      <c r="A18" s="129" t="s">
        <v>18</v>
      </c>
      <c r="B18" s="57" t="s">
        <v>380</v>
      </c>
      <c r="C18" s="119">
        <f>C6+C7+C9+C10+C11+C13+C14+C15+C16+C17</f>
        <v>1143517</v>
      </c>
      <c r="D18" s="119">
        <f>D6+D7+D9+D10+D11+D13+D14+D15+D16+D17</f>
        <v>1216019</v>
      </c>
      <c r="E18" s="119">
        <f>E6+E7+E9+E10+E11+E13+E14+E15+E16+E17</f>
        <v>1220990</v>
      </c>
      <c r="F18" s="57" t="s">
        <v>285</v>
      </c>
      <c r="G18" s="119">
        <f>SUM(G6:G17)</f>
        <v>1273958</v>
      </c>
      <c r="H18" s="119">
        <f>SUM(H6:H17)</f>
        <v>1266887</v>
      </c>
      <c r="I18" s="147">
        <f>SUM(I6:I17)</f>
        <v>1100543</v>
      </c>
      <c r="J18" s="923"/>
    </row>
    <row r="19" spans="1:10" ht="12.75" customHeight="1">
      <c r="A19" s="130" t="s">
        <v>19</v>
      </c>
      <c r="B19" s="131" t="s">
        <v>738</v>
      </c>
      <c r="C19" s="233">
        <f>+C20+C21+C22+C23</f>
        <v>108731</v>
      </c>
      <c r="D19" s="233">
        <f>+D20+D21+D22+D23</f>
        <v>48762</v>
      </c>
      <c r="E19" s="233">
        <f>+E20+E21+E22+E23</f>
        <v>0</v>
      </c>
      <c r="F19" s="132" t="s">
        <v>130</v>
      </c>
      <c r="G19" s="120"/>
      <c r="H19" s="120"/>
      <c r="I19" s="268"/>
      <c r="J19" s="923"/>
    </row>
    <row r="20" spans="1:10" ht="12.75" customHeight="1">
      <c r="A20" s="133" t="s">
        <v>20</v>
      </c>
      <c r="B20" s="132" t="s">
        <v>141</v>
      </c>
      <c r="C20" s="46">
        <v>108731</v>
      </c>
      <c r="D20" s="46">
        <v>48762</v>
      </c>
      <c r="E20" s="46"/>
      <c r="F20" s="132" t="s">
        <v>284</v>
      </c>
      <c r="G20" s="46"/>
      <c r="H20" s="46"/>
      <c r="I20" s="269"/>
      <c r="J20" s="923"/>
    </row>
    <row r="21" spans="1:10" ht="12.75" customHeight="1">
      <c r="A21" s="133" t="s">
        <v>21</v>
      </c>
      <c r="B21" s="132" t="s">
        <v>142</v>
      </c>
      <c r="C21" s="46"/>
      <c r="D21" s="46"/>
      <c r="E21" s="46"/>
      <c r="F21" s="132" t="s">
        <v>104</v>
      </c>
      <c r="G21" s="46"/>
      <c r="H21" s="46"/>
      <c r="I21" s="269"/>
      <c r="J21" s="923"/>
    </row>
    <row r="22" spans="1:10" ht="12.75" customHeight="1">
      <c r="A22" s="133" t="s">
        <v>22</v>
      </c>
      <c r="B22" s="132" t="s">
        <v>146</v>
      </c>
      <c r="C22" s="46"/>
      <c r="D22" s="46"/>
      <c r="E22" s="46"/>
      <c r="F22" s="132" t="s">
        <v>105</v>
      </c>
      <c r="G22" s="46"/>
      <c r="H22" s="46"/>
      <c r="I22" s="269"/>
      <c r="J22" s="923"/>
    </row>
    <row r="23" spans="1:10" ht="12.75" customHeight="1">
      <c r="A23" s="133" t="s">
        <v>23</v>
      </c>
      <c r="B23" s="132" t="s">
        <v>147</v>
      </c>
      <c r="C23" s="46"/>
      <c r="D23" s="46"/>
      <c r="E23" s="46"/>
      <c r="F23" s="131" t="s">
        <v>149</v>
      </c>
      <c r="G23" s="46"/>
      <c r="H23" s="46"/>
      <c r="I23" s="269"/>
      <c r="J23" s="923"/>
    </row>
    <row r="24" spans="1:10" ht="12.75" customHeight="1">
      <c r="A24" s="126" t="s">
        <v>24</v>
      </c>
      <c r="B24" s="132" t="s">
        <v>283</v>
      </c>
      <c r="C24" s="46"/>
      <c r="D24" s="46"/>
      <c r="E24" s="46"/>
      <c r="F24" s="132" t="s">
        <v>131</v>
      </c>
      <c r="G24" s="46"/>
      <c r="H24" s="46"/>
      <c r="I24" s="269"/>
      <c r="J24" s="923"/>
    </row>
    <row r="25" spans="1:10" ht="12.75" customHeight="1">
      <c r="A25" s="126" t="s">
        <v>25</v>
      </c>
      <c r="B25" s="132" t="s">
        <v>737</v>
      </c>
      <c r="C25" s="134">
        <f>C26+C27+C28</f>
        <v>0</v>
      </c>
      <c r="D25" s="134">
        <f>D26+D27+D28</f>
        <v>18636</v>
      </c>
      <c r="E25" s="134">
        <f>E26+E27+E28</f>
        <v>18636</v>
      </c>
      <c r="F25" s="125" t="s">
        <v>362</v>
      </c>
      <c r="G25" s="46"/>
      <c r="H25" s="46"/>
      <c r="I25" s="269"/>
      <c r="J25" s="923"/>
    </row>
    <row r="26" spans="1:10" ht="12.75" customHeight="1">
      <c r="A26" s="162" t="s">
        <v>26</v>
      </c>
      <c r="B26" s="131" t="s">
        <v>157</v>
      </c>
      <c r="C26" s="120"/>
      <c r="D26" s="120"/>
      <c r="E26" s="120"/>
      <c r="F26" s="127" t="s">
        <v>368</v>
      </c>
      <c r="G26" s="120"/>
      <c r="H26" s="120"/>
      <c r="I26" s="268"/>
      <c r="J26" s="923"/>
    </row>
    <row r="27" spans="1:10" ht="12.75" customHeight="1">
      <c r="A27" s="126" t="s">
        <v>27</v>
      </c>
      <c r="B27" s="132" t="s">
        <v>373</v>
      </c>
      <c r="C27" s="46"/>
      <c r="D27" s="46"/>
      <c r="E27" s="46"/>
      <c r="F27" s="127" t="s">
        <v>369</v>
      </c>
      <c r="G27" s="46"/>
      <c r="H27" s="46"/>
      <c r="I27" s="269"/>
      <c r="J27" s="923"/>
    </row>
    <row r="28" spans="1:10" ht="12.75" customHeight="1" thickBot="1">
      <c r="A28" s="162" t="s">
        <v>28</v>
      </c>
      <c r="B28" s="131" t="s">
        <v>241</v>
      </c>
      <c r="C28" s="120"/>
      <c r="D28" s="120">
        <v>18636</v>
      </c>
      <c r="E28" s="120">
        <v>18636</v>
      </c>
      <c r="F28" s="689" t="s">
        <v>278</v>
      </c>
      <c r="G28" s="120">
        <v>16506</v>
      </c>
      <c r="H28" s="120">
        <v>16530</v>
      </c>
      <c r="I28" s="268">
        <v>16530</v>
      </c>
      <c r="J28" s="923"/>
    </row>
    <row r="29" spans="1:10" ht="24" customHeight="1" thickBot="1">
      <c r="A29" s="129" t="s">
        <v>29</v>
      </c>
      <c r="B29" s="57" t="s">
        <v>740</v>
      </c>
      <c r="C29" s="119">
        <f>+C19+C25</f>
        <v>108731</v>
      </c>
      <c r="D29" s="119">
        <f>+D19+D25</f>
        <v>67398</v>
      </c>
      <c r="E29" s="263">
        <f>+E19+E25</f>
        <v>18636</v>
      </c>
      <c r="F29" s="57" t="s">
        <v>739</v>
      </c>
      <c r="G29" s="119">
        <f>SUM(G19:G28)</f>
        <v>16506</v>
      </c>
      <c r="H29" s="119">
        <f>SUM(H19:H28)</f>
        <v>16530</v>
      </c>
      <c r="I29" s="147">
        <f>SUM(I19:I28)</f>
        <v>16530</v>
      </c>
      <c r="J29" s="923"/>
    </row>
    <row r="30" spans="1:10" ht="13.5" thickBot="1">
      <c r="A30" s="129" t="s">
        <v>30</v>
      </c>
      <c r="B30" s="135" t="s">
        <v>381</v>
      </c>
      <c r="C30" s="305">
        <f>+C18+C29</f>
        <v>1252248</v>
      </c>
      <c r="D30" s="305">
        <f>+D18+D29</f>
        <v>1283417</v>
      </c>
      <c r="E30" s="306">
        <f>+E18+E29</f>
        <v>1239626</v>
      </c>
      <c r="F30" s="135"/>
      <c r="G30" s="305">
        <f>+G18+G29</f>
        <v>1290464</v>
      </c>
      <c r="H30" s="305">
        <f>+H18+H29</f>
        <v>1283417</v>
      </c>
      <c r="I30" s="306">
        <f>+I18+I29</f>
        <v>1117073</v>
      </c>
      <c r="J30" s="923"/>
    </row>
    <row r="31" spans="1:10" ht="13.5" thickBot="1">
      <c r="A31" s="129" t="s">
        <v>31</v>
      </c>
      <c r="B31" s="135" t="s">
        <v>108</v>
      </c>
      <c r="C31" s="305">
        <f>IF(C18-G18&lt;0,G18-C18,"-")</f>
        <v>130441</v>
      </c>
      <c r="D31" s="305">
        <f>IF(D18-H18&lt;0,H18-D18,"-")</f>
        <v>50868</v>
      </c>
      <c r="E31" s="306" t="str">
        <f>IF(E18-I18&lt;0,I18-E18,"-")</f>
        <v>-</v>
      </c>
      <c r="F31" s="135" t="s">
        <v>109</v>
      </c>
      <c r="G31" s="305" t="str">
        <f>IF(C18-G18&gt;0,C18-G18,"-")</f>
        <v>-</v>
      </c>
      <c r="H31" s="305" t="str">
        <f>IF(D18-H18&gt;0,D18-H18,"-")</f>
        <v>-</v>
      </c>
      <c r="I31" s="306">
        <f>IF(E18-I18&gt;0,E18-I18,"-")</f>
        <v>120447</v>
      </c>
      <c r="J31" s="923"/>
    </row>
    <row r="32" spans="1:10" ht="13.5" thickBot="1">
      <c r="A32" s="129" t="s">
        <v>32</v>
      </c>
      <c r="B32" s="135" t="s">
        <v>483</v>
      </c>
      <c r="C32" s="305">
        <f>IF(C30-G30&lt;0,G30-C30,"-")</f>
        <v>38216</v>
      </c>
      <c r="D32" s="305" t="str">
        <f>IF(D30-H30&lt;0,H30-D30,"-")</f>
        <v>-</v>
      </c>
      <c r="E32" s="305" t="str">
        <f>IF(E30-I30&lt;0,I30-E30,"-")</f>
        <v>-</v>
      </c>
      <c r="F32" s="135" t="s">
        <v>484</v>
      </c>
      <c r="G32" s="305" t="str">
        <f>IF(C30-G30&gt;0,C30-G30,"-")</f>
        <v>-</v>
      </c>
      <c r="H32" s="305" t="str">
        <f>IF(D30-H30&gt;0,D30-H30,"-")</f>
        <v>-</v>
      </c>
      <c r="I32" s="305">
        <f>IF(E30-I30&gt;0,E30-I30,"-")</f>
        <v>122553</v>
      </c>
      <c r="J32" s="923"/>
    </row>
    <row r="33" spans="2:10" ht="18.75">
      <c r="B33" s="922"/>
      <c r="C33" s="922"/>
      <c r="D33" s="922"/>
      <c r="E33" s="922"/>
      <c r="F33" s="922"/>
      <c r="J33" s="923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86" zoomScaleNormal="86" zoomScaleSheetLayoutView="115" workbookViewId="0" topLeftCell="A1">
      <selection activeCell="I2" sqref="I2"/>
    </sheetView>
  </sheetViews>
  <sheetFormatPr defaultColWidth="9.00390625" defaultRowHeight="12.75"/>
  <cols>
    <col min="1" max="1" width="6.875" style="32" customWidth="1"/>
    <col min="2" max="2" width="49.875" style="71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1.5">
      <c r="A1" s="338"/>
      <c r="B1" s="344" t="s">
        <v>107</v>
      </c>
      <c r="C1" s="345"/>
      <c r="D1" s="345"/>
      <c r="E1" s="345"/>
      <c r="F1" s="345"/>
      <c r="G1" s="345"/>
      <c r="H1" s="345"/>
      <c r="I1" s="345"/>
      <c r="J1" s="923" t="str">
        <f>CONCATENATE("2.2. melléklet ",Z_ALAPADATOK!A7," ",Z_ALAPADATOK!B7," ",Z_ALAPADATOK!C7," ",Z_ALAPADATOK!D7," ",Z_ALAPADATOK!E7," ",Z_ALAPADATOK!F7," ",Z_ALAPADATOK!G7," ",Z_ALAPADATOK!H7)</f>
        <v>2.2. melléklet a … / 2020. ( … ) önkormányzati rendelethez</v>
      </c>
    </row>
    <row r="2" spans="1:10" ht="14.25" thickBot="1">
      <c r="A2" s="338"/>
      <c r="B2" s="337"/>
      <c r="C2" s="338"/>
      <c r="D2" s="338"/>
      <c r="E2" s="338"/>
      <c r="F2" s="338"/>
      <c r="G2" s="346"/>
      <c r="H2" s="346"/>
      <c r="I2" s="346" t="str">
        <f>'Z_2.1.sz.mell'!I2</f>
        <v>e  Forintban!</v>
      </c>
      <c r="J2" s="923"/>
    </row>
    <row r="3" spans="1:10" ht="13.5" customHeight="1" thickBot="1">
      <c r="A3" s="920" t="s">
        <v>51</v>
      </c>
      <c r="B3" s="347" t="s">
        <v>39</v>
      </c>
      <c r="C3" s="348"/>
      <c r="D3" s="349"/>
      <c r="E3" s="349"/>
      <c r="F3" s="347" t="s">
        <v>40</v>
      </c>
      <c r="G3" s="350"/>
      <c r="H3" s="351"/>
      <c r="I3" s="352"/>
      <c r="J3" s="923"/>
    </row>
    <row r="4" spans="1:10" s="122" customFormat="1" ht="36.75" thickBot="1">
      <c r="A4" s="921"/>
      <c r="B4" s="340" t="s">
        <v>44</v>
      </c>
      <c r="C4" s="312" t="str">
        <f>+CONCATENATE('Z_1.1.sz.mell.'!C8," eredeti előirányzat")</f>
        <v>2019. évi eredeti előirányzat</v>
      </c>
      <c r="D4" s="310" t="str">
        <f>+CONCATENATE('Z_1.1.sz.mell.'!C8," módosított előirányzat")</f>
        <v>2019. évi módosított előirányzat</v>
      </c>
      <c r="E4" s="310" t="str">
        <f>CONCATENATE('Z_2.1.sz.mell'!E4)</f>
        <v>2019. XII. 31.
teljesítés</v>
      </c>
      <c r="F4" s="340" t="s">
        <v>44</v>
      </c>
      <c r="G4" s="312" t="str">
        <f>+C4</f>
        <v>2019. évi eredeti előirányzat</v>
      </c>
      <c r="H4" s="312" t="str">
        <f>+D4</f>
        <v>2019. évi módosított előirányzat</v>
      </c>
      <c r="I4" s="311" t="str">
        <f>+E4</f>
        <v>2019. XII. 31.
teljesítés</v>
      </c>
      <c r="J4" s="923"/>
    </row>
    <row r="5" spans="1:10" s="122" customFormat="1" ht="13.5" thickBot="1">
      <c r="A5" s="353" t="s">
        <v>382</v>
      </c>
      <c r="B5" s="354" t="s">
        <v>383</v>
      </c>
      <c r="C5" s="355" t="s">
        <v>384</v>
      </c>
      <c r="D5" s="355" t="s">
        <v>386</v>
      </c>
      <c r="E5" s="355" t="s">
        <v>385</v>
      </c>
      <c r="F5" s="354" t="s">
        <v>387</v>
      </c>
      <c r="G5" s="355" t="s">
        <v>388</v>
      </c>
      <c r="H5" s="356" t="s">
        <v>389</v>
      </c>
      <c r="I5" s="357" t="s">
        <v>419</v>
      </c>
      <c r="J5" s="923"/>
    </row>
    <row r="6" spans="1:10" ht="12.75" customHeight="1">
      <c r="A6" s="124" t="s">
        <v>6</v>
      </c>
      <c r="B6" s="125" t="s">
        <v>286</v>
      </c>
      <c r="C6" s="115">
        <v>179656</v>
      </c>
      <c r="D6" s="686">
        <v>147389</v>
      </c>
      <c r="E6" s="115">
        <v>145605</v>
      </c>
      <c r="F6" s="125" t="s">
        <v>143</v>
      </c>
      <c r="G6" s="115">
        <v>784105</v>
      </c>
      <c r="H6" s="274">
        <v>540455</v>
      </c>
      <c r="I6" s="145">
        <v>539888</v>
      </c>
      <c r="J6" s="923"/>
    </row>
    <row r="7" spans="1:10" ht="12.75">
      <c r="A7" s="126" t="s">
        <v>7</v>
      </c>
      <c r="B7" s="127" t="s">
        <v>287</v>
      </c>
      <c r="C7" s="116">
        <v>125068</v>
      </c>
      <c r="D7" s="686">
        <v>196152</v>
      </c>
      <c r="E7" s="116">
        <v>117222</v>
      </c>
      <c r="F7" s="127" t="s">
        <v>292</v>
      </c>
      <c r="G7" s="116">
        <v>733570</v>
      </c>
      <c r="H7" s="116">
        <v>811120</v>
      </c>
      <c r="I7" s="266"/>
      <c r="J7" s="923"/>
    </row>
    <row r="8" spans="1:10" ht="12.75" customHeight="1">
      <c r="A8" s="126" t="s">
        <v>8</v>
      </c>
      <c r="B8" s="127" t="s">
        <v>1</v>
      </c>
      <c r="C8" s="116"/>
      <c r="D8" s="686">
        <v>14513</v>
      </c>
      <c r="E8" s="116">
        <v>14513</v>
      </c>
      <c r="F8" s="127" t="s">
        <v>126</v>
      </c>
      <c r="G8" s="116">
        <v>53367</v>
      </c>
      <c r="H8" s="116">
        <v>68844</v>
      </c>
      <c r="I8" s="266">
        <v>67742</v>
      </c>
      <c r="J8" s="923"/>
    </row>
    <row r="9" spans="1:10" ht="12.75" customHeight="1">
      <c r="A9" s="126" t="s">
        <v>9</v>
      </c>
      <c r="B9" s="127" t="s">
        <v>288</v>
      </c>
      <c r="C9" s="116">
        <v>4650</v>
      </c>
      <c r="D9" s="686">
        <v>4650</v>
      </c>
      <c r="E9" s="116">
        <v>170</v>
      </c>
      <c r="F9" s="127" t="s">
        <v>293</v>
      </c>
      <c r="G9" s="116"/>
      <c r="H9" s="116">
        <v>0</v>
      </c>
      <c r="I9" s="266"/>
      <c r="J9" s="923"/>
    </row>
    <row r="10" spans="1:10" ht="12.75" customHeight="1">
      <c r="A10" s="126" t="s">
        <v>10</v>
      </c>
      <c r="B10" s="127" t="s">
        <v>289</v>
      </c>
      <c r="C10" s="116"/>
      <c r="D10" s="686">
        <v>0</v>
      </c>
      <c r="E10" s="116"/>
      <c r="F10" s="127" t="s">
        <v>145</v>
      </c>
      <c r="G10" s="116">
        <v>7842</v>
      </c>
      <c r="H10" s="116">
        <v>41587</v>
      </c>
      <c r="I10" s="266">
        <v>40815</v>
      </c>
      <c r="J10" s="923"/>
    </row>
    <row r="11" spans="1:10" ht="12.75" customHeight="1">
      <c r="A11" s="126" t="s">
        <v>11</v>
      </c>
      <c r="B11" s="127" t="s">
        <v>290</v>
      </c>
      <c r="C11" s="117"/>
      <c r="D11" s="117"/>
      <c r="E11" s="117"/>
      <c r="F11" s="193"/>
      <c r="G11" s="116"/>
      <c r="H11" s="116">
        <v>0</v>
      </c>
      <c r="I11" s="266"/>
      <c r="J11" s="923"/>
    </row>
    <row r="12" spans="1:10" ht="12.75" customHeight="1">
      <c r="A12" s="126" t="s">
        <v>12</v>
      </c>
      <c r="B12" s="30"/>
      <c r="C12" s="116"/>
      <c r="D12" s="116"/>
      <c r="E12" s="116"/>
      <c r="F12" s="193"/>
      <c r="G12" s="116"/>
      <c r="H12" s="116">
        <v>0</v>
      </c>
      <c r="I12" s="266"/>
      <c r="J12" s="923"/>
    </row>
    <row r="13" spans="1:10" ht="12.75" customHeight="1">
      <c r="A13" s="126" t="s">
        <v>13</v>
      </c>
      <c r="B13" s="30"/>
      <c r="C13" s="116"/>
      <c r="D13" s="116"/>
      <c r="E13" s="116"/>
      <c r="F13" s="194"/>
      <c r="G13" s="116"/>
      <c r="H13" s="116">
        <v>0</v>
      </c>
      <c r="I13" s="266"/>
      <c r="J13" s="923"/>
    </row>
    <row r="14" spans="1:10" ht="12.75" customHeight="1">
      <c r="A14" s="126" t="s">
        <v>14</v>
      </c>
      <c r="B14" s="191"/>
      <c r="C14" s="117"/>
      <c r="D14" s="117"/>
      <c r="E14" s="117"/>
      <c r="F14" s="193"/>
      <c r="G14" s="116"/>
      <c r="H14" s="116">
        <v>0</v>
      </c>
      <c r="I14" s="266"/>
      <c r="J14" s="923"/>
    </row>
    <row r="15" spans="1:10" ht="12.75">
      <c r="A15" s="126" t="s">
        <v>15</v>
      </c>
      <c r="B15" s="30"/>
      <c r="C15" s="117"/>
      <c r="D15" s="117"/>
      <c r="E15" s="117"/>
      <c r="F15" s="193"/>
      <c r="G15" s="116"/>
      <c r="H15" s="116">
        <v>0</v>
      </c>
      <c r="I15" s="266"/>
      <c r="J15" s="923"/>
    </row>
    <row r="16" spans="1:10" ht="12.75" customHeight="1" thickBot="1">
      <c r="A16" s="162" t="s">
        <v>16</v>
      </c>
      <c r="B16" s="192"/>
      <c r="C16" s="164"/>
      <c r="D16" s="164"/>
      <c r="E16" s="164"/>
      <c r="F16" s="163" t="s">
        <v>36</v>
      </c>
      <c r="G16" s="272">
        <v>68435</v>
      </c>
      <c r="H16" s="272">
        <v>343339</v>
      </c>
      <c r="I16" s="270"/>
      <c r="J16" s="923"/>
    </row>
    <row r="17" spans="1:10" ht="15.75" customHeight="1" thickBot="1">
      <c r="A17" s="129" t="s">
        <v>17</v>
      </c>
      <c r="B17" s="57" t="s">
        <v>300</v>
      </c>
      <c r="C17" s="119">
        <f>+C6+C8+C9+C11+C12+C13+C14+C15+C16</f>
        <v>184306</v>
      </c>
      <c r="D17" s="119">
        <f>+D6+D8+D9+D11+D12+D13+D14+D15+D16</f>
        <v>166552</v>
      </c>
      <c r="E17" s="119">
        <f>+E6+E8+E9+E11+E12+E13+E14+E15+E16</f>
        <v>160288</v>
      </c>
      <c r="F17" s="57" t="s">
        <v>301</v>
      </c>
      <c r="G17" s="119">
        <f>+G6+G8+G10+G11+G12+G13+G14+G15+G16</f>
        <v>913749</v>
      </c>
      <c r="H17" s="119">
        <f>+H6+H8+H10+H11+H12+H13+H14+H15+H16</f>
        <v>994225</v>
      </c>
      <c r="I17" s="147">
        <f>+I6+I8+I10+I11+I12+I13+I14+I15+I16</f>
        <v>648445</v>
      </c>
      <c r="J17" s="923"/>
    </row>
    <row r="18" spans="1:10" ht="12.75" customHeight="1">
      <c r="A18" s="124" t="s">
        <v>18</v>
      </c>
      <c r="B18" s="137" t="s">
        <v>161</v>
      </c>
      <c r="C18" s="144">
        <f>+C19+C20+C21+C22+C23</f>
        <v>767659</v>
      </c>
      <c r="D18" s="144">
        <f>+D19+D20+D21+D22+D23</f>
        <v>827673</v>
      </c>
      <c r="E18" s="144">
        <f>+E19+E20+E21+E22+E23</f>
        <v>876435</v>
      </c>
      <c r="F18" s="132" t="s">
        <v>130</v>
      </c>
      <c r="G18" s="273"/>
      <c r="H18" s="273"/>
      <c r="I18" s="271"/>
      <c r="J18" s="923"/>
    </row>
    <row r="19" spans="1:10" ht="12.75" customHeight="1">
      <c r="A19" s="126" t="s">
        <v>19</v>
      </c>
      <c r="B19" s="138" t="s">
        <v>150</v>
      </c>
      <c r="C19" s="46">
        <v>767659</v>
      </c>
      <c r="D19" s="46">
        <v>827673</v>
      </c>
      <c r="E19" s="46">
        <v>876435</v>
      </c>
      <c r="F19" s="132" t="s">
        <v>133</v>
      </c>
      <c r="G19" s="46"/>
      <c r="H19" s="46"/>
      <c r="I19" s="269"/>
      <c r="J19" s="923"/>
    </row>
    <row r="20" spans="1:10" ht="12.75" customHeight="1">
      <c r="A20" s="124" t="s">
        <v>20</v>
      </c>
      <c r="B20" s="138" t="s">
        <v>151</v>
      </c>
      <c r="C20" s="46"/>
      <c r="D20" s="46"/>
      <c r="E20" s="46"/>
      <c r="F20" s="132" t="s">
        <v>104</v>
      </c>
      <c r="G20" s="46"/>
      <c r="H20" s="46"/>
      <c r="I20" s="269"/>
      <c r="J20" s="923"/>
    </row>
    <row r="21" spans="1:10" ht="12.75" customHeight="1">
      <c r="A21" s="126" t="s">
        <v>21</v>
      </c>
      <c r="B21" s="138" t="s">
        <v>152</v>
      </c>
      <c r="C21" s="46"/>
      <c r="D21" s="46"/>
      <c r="E21" s="46"/>
      <c r="F21" s="132" t="s">
        <v>105</v>
      </c>
      <c r="G21" s="46"/>
      <c r="H21" s="46"/>
      <c r="I21" s="269"/>
      <c r="J21" s="923"/>
    </row>
    <row r="22" spans="1:10" ht="12.75" customHeight="1">
      <c r="A22" s="124" t="s">
        <v>22</v>
      </c>
      <c r="B22" s="138" t="s">
        <v>153</v>
      </c>
      <c r="C22" s="46"/>
      <c r="D22" s="46"/>
      <c r="E22" s="46"/>
      <c r="F22" s="131" t="s">
        <v>149</v>
      </c>
      <c r="G22" s="46"/>
      <c r="H22" s="46"/>
      <c r="I22" s="269"/>
      <c r="J22" s="923"/>
    </row>
    <row r="23" spans="1:10" ht="12.75" customHeight="1">
      <c r="A23" s="126" t="s">
        <v>23</v>
      </c>
      <c r="B23" s="139" t="s">
        <v>154</v>
      </c>
      <c r="C23" s="46"/>
      <c r="D23" s="46"/>
      <c r="E23" s="46"/>
      <c r="F23" s="132" t="s">
        <v>134</v>
      </c>
      <c r="G23" s="46"/>
      <c r="H23" s="46"/>
      <c r="I23" s="269"/>
      <c r="J23" s="923"/>
    </row>
    <row r="24" spans="1:10" ht="12.75" customHeight="1">
      <c r="A24" s="124" t="s">
        <v>24</v>
      </c>
      <c r="B24" s="140" t="s">
        <v>155</v>
      </c>
      <c r="C24" s="134">
        <f>+C25+C26+C27+C28+C29</f>
        <v>0</v>
      </c>
      <c r="D24" s="134">
        <f>+D25+D26+D27+D28+D29</f>
        <v>0</v>
      </c>
      <c r="E24" s="134">
        <f>+E25+E26+E27+E28+E29</f>
        <v>0</v>
      </c>
      <c r="F24" s="141" t="s">
        <v>132</v>
      </c>
      <c r="G24" s="46"/>
      <c r="H24" s="46"/>
      <c r="I24" s="269"/>
      <c r="J24" s="923"/>
    </row>
    <row r="25" spans="1:10" ht="12.75" customHeight="1">
      <c r="A25" s="126" t="s">
        <v>25</v>
      </c>
      <c r="B25" s="139" t="s">
        <v>156</v>
      </c>
      <c r="C25" s="46"/>
      <c r="D25" s="46"/>
      <c r="E25" s="46"/>
      <c r="F25" s="141" t="s">
        <v>294</v>
      </c>
      <c r="G25" s="46"/>
      <c r="H25" s="46"/>
      <c r="I25" s="269"/>
      <c r="J25" s="923"/>
    </row>
    <row r="26" spans="1:10" ht="12.75" customHeight="1">
      <c r="A26" s="124" t="s">
        <v>26</v>
      </c>
      <c r="B26" s="139" t="s">
        <v>157</v>
      </c>
      <c r="C26" s="46"/>
      <c r="D26" s="46"/>
      <c r="E26" s="46"/>
      <c r="F26" s="136"/>
      <c r="G26" s="46"/>
      <c r="H26" s="46"/>
      <c r="I26" s="269"/>
      <c r="J26" s="923"/>
    </row>
    <row r="27" spans="1:10" ht="12.75" customHeight="1">
      <c r="A27" s="126" t="s">
        <v>27</v>
      </c>
      <c r="B27" s="138" t="s">
        <v>158</v>
      </c>
      <c r="C27" s="46"/>
      <c r="D27" s="46"/>
      <c r="E27" s="46"/>
      <c r="F27" s="55"/>
      <c r="G27" s="46"/>
      <c r="H27" s="46"/>
      <c r="I27" s="269"/>
      <c r="J27" s="923"/>
    </row>
    <row r="28" spans="1:10" ht="12.75" customHeight="1">
      <c r="A28" s="124" t="s">
        <v>28</v>
      </c>
      <c r="B28" s="142" t="s">
        <v>159</v>
      </c>
      <c r="C28" s="46"/>
      <c r="D28" s="46"/>
      <c r="E28" s="46"/>
      <c r="F28" s="30"/>
      <c r="G28" s="46"/>
      <c r="H28" s="46"/>
      <c r="I28" s="269"/>
      <c r="J28" s="923"/>
    </row>
    <row r="29" spans="1:10" ht="12.75" customHeight="1" thickBot="1">
      <c r="A29" s="126" t="s">
        <v>29</v>
      </c>
      <c r="B29" s="143" t="s">
        <v>160</v>
      </c>
      <c r="C29" s="46"/>
      <c r="D29" s="46"/>
      <c r="E29" s="46"/>
      <c r="F29" s="55"/>
      <c r="G29" s="46"/>
      <c r="H29" s="46"/>
      <c r="I29" s="269"/>
      <c r="J29" s="923"/>
    </row>
    <row r="30" spans="1:10" ht="21.75" customHeight="1" thickBot="1">
      <c r="A30" s="129" t="s">
        <v>30</v>
      </c>
      <c r="B30" s="57" t="s">
        <v>291</v>
      </c>
      <c r="C30" s="119">
        <f>+C18+C24</f>
        <v>767659</v>
      </c>
      <c r="D30" s="119">
        <f>+D18+D24</f>
        <v>827673</v>
      </c>
      <c r="E30" s="119">
        <f>+E18+E24</f>
        <v>876435</v>
      </c>
      <c r="F30" s="57" t="s">
        <v>295</v>
      </c>
      <c r="G30" s="119">
        <f>SUM(G18:G29)</f>
        <v>0</v>
      </c>
      <c r="H30" s="119">
        <f>SUM(H18:H29)</f>
        <v>0</v>
      </c>
      <c r="I30" s="147">
        <f>SUM(I18:I29)</f>
        <v>0</v>
      </c>
      <c r="J30" s="923"/>
    </row>
    <row r="31" spans="1:10" ht="13.5" thickBot="1">
      <c r="A31" s="129" t="s">
        <v>31</v>
      </c>
      <c r="B31" s="135" t="s">
        <v>296</v>
      </c>
      <c r="C31" s="305">
        <f>+C17+C30</f>
        <v>951965</v>
      </c>
      <c r="D31" s="305">
        <f>+D17+D30</f>
        <v>994225</v>
      </c>
      <c r="E31" s="306">
        <f>+E17+E30</f>
        <v>1036723</v>
      </c>
      <c r="F31" s="135" t="s">
        <v>297</v>
      </c>
      <c r="G31" s="305">
        <f>+G17+G30</f>
        <v>913749</v>
      </c>
      <c r="H31" s="305">
        <f>+H17+H30</f>
        <v>994225</v>
      </c>
      <c r="I31" s="306">
        <f>+I17+I30</f>
        <v>648445</v>
      </c>
      <c r="J31" s="923"/>
    </row>
    <row r="32" spans="1:10" ht="13.5" thickBot="1">
      <c r="A32" s="129" t="s">
        <v>32</v>
      </c>
      <c r="B32" s="135" t="s">
        <v>108</v>
      </c>
      <c r="C32" s="305">
        <f>IF(C17-G17&lt;0,G17-C17,"-")</f>
        <v>729443</v>
      </c>
      <c r="D32" s="305">
        <f>IF(D17-H17&lt;0,H17-D17,"-")</f>
        <v>827673</v>
      </c>
      <c r="E32" s="306">
        <f>IF(E17-I17&lt;0,I17-E17,"-")</f>
        <v>488157</v>
      </c>
      <c r="F32" s="135" t="s">
        <v>109</v>
      </c>
      <c r="G32" s="305" t="str">
        <f>IF(C17-G17&gt;0,C17-G17,"-")</f>
        <v>-</v>
      </c>
      <c r="H32" s="305" t="str">
        <f>IF(D17-H17&gt;0,D17-H17,"-")</f>
        <v>-</v>
      </c>
      <c r="I32" s="306" t="str">
        <f>IF(E17-I17&gt;0,E17-I17,"-")</f>
        <v>-</v>
      </c>
      <c r="J32" s="923"/>
    </row>
    <row r="33" spans="1:10" ht="13.5" thickBot="1">
      <c r="A33" s="129" t="s">
        <v>33</v>
      </c>
      <c r="B33" s="135" t="s">
        <v>483</v>
      </c>
      <c r="C33" s="305" t="str">
        <f>IF(C31-G31&lt;0,G31-C31,"-")</f>
        <v>-</v>
      </c>
      <c r="D33" s="305" t="str">
        <f>IF(D31-H31&lt;0,H31-D31,"-")</f>
        <v>-</v>
      </c>
      <c r="E33" s="305" t="str">
        <f>IF(E31-I31&lt;0,I31-E31,"-")</f>
        <v>-</v>
      </c>
      <c r="F33" s="135" t="s">
        <v>484</v>
      </c>
      <c r="G33" s="305">
        <f>IF(C31-G31&gt;0,C31-G31,"-")</f>
        <v>38216</v>
      </c>
      <c r="H33" s="305" t="str">
        <f>IF(D31-H31&gt;0,D31-H31,"-")</f>
        <v>-</v>
      </c>
      <c r="I33" s="305">
        <f>IF(E31-I31&gt;0,E31-I31,"-")</f>
        <v>388278</v>
      </c>
      <c r="J33" s="923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2020-05-25T06:41:32Z</cp:lastPrinted>
  <dcterms:created xsi:type="dcterms:W3CDTF">1999-10-30T10:30:45Z</dcterms:created>
  <dcterms:modified xsi:type="dcterms:W3CDTF">2020-05-25T07:43:41Z</dcterms:modified>
  <cp:category/>
  <cp:version/>
  <cp:contentType/>
  <cp:contentStatus/>
</cp:coreProperties>
</file>