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26" firstSheet="3" activeTab="16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2.sz.mell" sheetId="18" r:id="rId18"/>
    <sheet name="KV_9.3.sz.mell" sheetId="19" r:id="rId19"/>
    <sheet name="KV_10.sz.mell" sheetId="20" r:id="rId20"/>
    <sheet name="KV_11.sz.mell" sheetId="21" r:id="rId21"/>
    <sheet name="KV_12.sz.mell" sheetId="22" r:id="rId22"/>
    <sheet name="KV_13.sz.mell" sheetId="23" r:id="rId23"/>
    <sheet name="KV_14.sz.mell" sheetId="24" r:id="rId24"/>
    <sheet name="KV_15.sz.mell" sheetId="25" r:id="rId25"/>
    <sheet name="KV_16.sz.mell" sheetId="26" r:id="rId26"/>
    <sheet name="KV_17.sz.mell" sheetId="27" r:id="rId27"/>
    <sheet name="KV_18.sz.mell" sheetId="28" r:id="rId28"/>
    <sheet name="KV_19.sz.mell" sheetId="29" r:id="rId29"/>
    <sheet name="KV_20.sz.mell" sheetId="30" r:id="rId30"/>
    <sheet name="Munka1" sheetId="31" r:id="rId31"/>
  </sheets>
  <definedNames>
    <definedName name="_xlfn.IFERROR" hidden="1">#NAME?</definedName>
    <definedName name="_xlnm.Print_Titles" localSheetId="18">'KV_9.3.sz.mell'!$1:$6</definedName>
    <definedName name="_xlnm.Print_Area" localSheetId="3">'KV_1.1.sz.mell.'!$A$1:$C$165</definedName>
    <definedName name="_xlnm.Print_Area" localSheetId="4">'KV_1.2.sz.mell.'!$A$1:$C$165</definedName>
    <definedName name="_xlnm.Print_Area" localSheetId="5">'KV_1.3.sz.mell.'!$A$1:$C$165</definedName>
    <definedName name="_xlnm.Print_Area" localSheetId="6">'KV_1.4.sz.mell.'!$A$1:$C$165</definedName>
    <definedName name="_xlnm.Print_Area" localSheetId="22">'KV_13.sz.mell'!$A$1:$E$158</definedName>
    <definedName name="_xlnm.Print_Area" localSheetId="26">'KV_17.sz.mell'!$A$1:$E$40</definedName>
    <definedName name="RM_6.3.sz.mell__A_2">'TARTALOMJEGYZÉK'!#REF!</definedName>
    <definedName name="RM_6.4.sz.mell__A_1">'TARTALOMJEGYZÉK'!#REF!</definedName>
    <definedName name="RM_6.4.sz.mell__A_2">'TARTALOMJEGYZÉK'!#REF!</definedName>
  </definedNames>
  <calcPr fullCalcOnLoad="1"/>
</workbook>
</file>

<file path=xl/sharedStrings.xml><?xml version="1.0" encoding="utf-8"?>
<sst xmlns="http://schemas.openxmlformats.org/spreadsheetml/2006/main" count="1459" uniqueCount="884">
  <si>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</si>
  <si>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</si>
  <si>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</si>
  <si>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</si>
  <si>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</si>
  <si>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</si>
  <si>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</si>
  <si>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</si>
  <si>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</si>
  <si>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</si>
  <si>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</si>
  <si>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</si>
  <si>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</si>
  <si>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</si>
  <si>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</si>
  <si>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</si>
  <si>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</si>
  <si>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</si>
  <si>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</si>
  <si>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</si>
  <si>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</si>
  <si>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</si>
  <si>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</si>
  <si>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</si>
  <si>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</si>
  <si>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</si>
  <si>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</si>
  <si>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</si>
  <si>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</si>
  <si>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</si>
  <si>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</si>
  <si>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</si>
  <si>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</si>
  <si>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</si>
  <si>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</si>
  <si>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</si>
  <si>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</si>
  <si>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</si>
  <si>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</si>
  <si>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</si>
  <si>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</si>
  <si>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</si>
  <si>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</si>
  <si>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</si>
  <si>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</si>
  <si>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</si>
  <si>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</si>
  <si>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</si>
  <si>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Összesen</t>
  </si>
  <si>
    <t>Jogcím</t>
  </si>
  <si>
    <t>Összesen:</t>
  </si>
  <si>
    <t>01</t>
  </si>
  <si>
    <t>Előirányzat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</si>
  <si>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</si>
  <si>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</si>
  <si>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</si>
  <si>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</si>
  <si>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</si>
  <si>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</si>
  <si>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</si>
  <si>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</si>
  <si>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</si>
  <si>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</si>
  <si>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</si>
  <si>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</si>
  <si>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</si>
  <si>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</si>
  <si>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</si>
  <si>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</si>
  <si>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</si>
  <si>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</si>
  <si>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</si>
  <si>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</si>
  <si>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</si>
  <si>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</si>
  <si>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</si>
  <si>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</si>
  <si>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</si>
  <si>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</si>
  <si>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</si>
  <si>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</si>
  <si>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</si>
  <si>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</si>
  <si>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Bevételek összesen:</t>
  </si>
  <si>
    <t>Kiadások összesen:</t>
  </si>
  <si>
    <t>Egyenleg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</si>
  <si>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</si>
  <si>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</si>
  <si>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</si>
  <si>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</si>
  <si>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</si>
  <si>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</si>
  <si>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</si>
  <si>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</si>
  <si>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</si>
  <si>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</si>
  <si>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</si>
  <si>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</si>
  <si>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</si>
  <si>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</si>
  <si>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</si>
  <si>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</si>
  <si>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</si>
  <si>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</si>
  <si>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</si>
  <si>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</si>
  <si>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</si>
  <si>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</si>
  <si>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</si>
  <si>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</si>
  <si>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</si>
  <si>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</si>
  <si>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</si>
  <si>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</si>
  <si>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</si>
  <si>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</si>
  <si>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</si>
  <si>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</si>
  <si>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</si>
  <si>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</si>
  <si>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</si>
  <si>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</si>
  <si>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</si>
  <si>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</si>
  <si>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</si>
  <si>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</si>
  <si>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</si>
  <si>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</si>
  <si>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</si>
  <si>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</si>
  <si>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</si>
  <si>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</si>
  <si>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</si>
  <si>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</si>
  <si>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</si>
  <si>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</si>
  <si>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</si>
  <si>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</si>
  <si>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</si>
  <si>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</si>
  <si>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</si>
  <si>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</si>
  <si>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</si>
  <si>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</si>
  <si>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</si>
  <si>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</si>
  <si>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</si>
  <si>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</si>
  <si>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</si>
  <si>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</si>
  <si>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</si>
  <si>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</si>
  <si>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</si>
  <si>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</si>
  <si>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</si>
  <si>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</si>
  <si>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</si>
  <si>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</si>
  <si>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</si>
  <si>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</si>
  <si>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</si>
  <si>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</si>
  <si>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</si>
  <si>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</si>
  <si>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</si>
  <si>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>Beruházások</t>
  </si>
  <si>
    <t>Egyéb felhalmozási kiadások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</si>
  <si>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</si>
  <si>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</si>
  <si>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</si>
  <si>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</si>
  <si>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</si>
  <si>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</si>
  <si>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</si>
  <si>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</si>
  <si>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</si>
  <si>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</si>
  <si>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</si>
  <si>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</si>
  <si>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</si>
  <si>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</si>
  <si>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</si>
  <si>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</si>
  <si>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</si>
  <si>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</si>
  <si>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</si>
  <si>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</si>
  <si>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</si>
  <si>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</si>
  <si>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</si>
  <si>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</si>
  <si>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</si>
  <si>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</si>
  <si>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</si>
  <si>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Gépjárműadó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</si>
  <si>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</si>
  <si>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</si>
  <si>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</si>
  <si>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</si>
  <si>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</si>
  <si>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</si>
  <si>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</si>
  <si>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</si>
  <si>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</si>
  <si>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</si>
  <si>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</si>
  <si>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</si>
  <si>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</si>
  <si>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</si>
  <si>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</si>
  <si>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garancia- és kezességvállalásból megtérülések ÁH-n kívülről</t>
  </si>
  <si>
    <t>Egyéb működési célú átvett pénzeszköz</t>
  </si>
  <si>
    <t>Felhalm. célú garancia- és kezességvállalásból megtérülések ÁH-n kívülről</t>
  </si>
  <si>
    <t>Egyéb felhalmozási célú átvett pénzeszköz</t>
  </si>
  <si>
    <t>Hosszú lejáratú  hitelek, kölcsönök felvétele</t>
  </si>
  <si>
    <t>Likviditási célú  hitelek, kölcsönök felvétele pénzügyi vállalkozástól</t>
  </si>
  <si>
    <t>Forgatási célú belföldi értékpapírok beváltása,  értékesítése</t>
  </si>
  <si>
    <t>Befektetési célú belföldi értékpapírok beváltása,  értékesítése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</si>
  <si>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</si>
  <si>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</si>
  <si>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</si>
  <si>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</si>
  <si>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</si>
  <si>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</si>
  <si>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</si>
  <si>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</si>
  <si>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</si>
  <si>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</si>
  <si>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</si>
  <si>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</si>
  <si>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</si>
  <si>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</si>
  <si>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</si>
  <si>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</si>
  <si>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</si>
  <si>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</si>
  <si>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</si>
  <si>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</si>
  <si>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</si>
  <si>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</si>
  <si>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</si>
  <si>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</si>
  <si>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</si>
  <si>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</si>
  <si>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Működési célú támogatások államháztartáson belülről</t>
  </si>
  <si>
    <t>Működési célú átvett pénzeszközök</t>
  </si>
  <si>
    <t>Hiány belső finanszírozásának bevételei (15.+…+18. )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</si>
  <si>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</si>
  <si>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</si>
  <si>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</si>
  <si>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</si>
  <si>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</si>
  <si>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</si>
  <si>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</si>
  <si>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</si>
  <si>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</si>
  <si>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</si>
  <si>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</si>
  <si>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Összes bevétel, kiadás</t>
  </si>
  <si>
    <t>Kiszámlázott általános forgalmi adó</t>
  </si>
  <si>
    <t>Általános forgalmi adó visszatérülése</t>
  </si>
  <si>
    <t>Felhalmozási célú átvett pénzeszközök</t>
  </si>
  <si>
    <t>Irányító szervi (önkormányzati) támogatás (intézményfinanszírozás)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</si>
  <si>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</si>
  <si>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</si>
  <si>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</si>
  <si>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</si>
  <si>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</si>
  <si>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</si>
  <si>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</si>
  <si>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</si>
  <si>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</si>
  <si>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Működési célú kvi támogatások és kiegészítő támogatások </t>
  </si>
  <si>
    <t>Elszámolásból származó bevételek</t>
  </si>
  <si>
    <t>Biztosító által fizetett kártérítés</t>
  </si>
  <si>
    <t xml:space="preserve">   - Törvényi előíráson alapuló befizetések</t>
  </si>
  <si>
    <t>KÖLTSÉGVETÉSI KIADÁSOK ÖSSZESEN (1+2)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</si>
  <si>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</si>
  <si>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</si>
  <si>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</si>
  <si>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</si>
  <si>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</si>
  <si>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</si>
  <si>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</si>
  <si>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</si>
  <si>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</si>
  <si>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</si>
  <si>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>Külföldi értékpapírok beváltása</t>
  </si>
  <si>
    <t>Pénzeszközök lekötött betétként elhelyezése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</si>
  <si>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</si>
  <si>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</si>
  <si>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</si>
  <si>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</si>
  <si>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Váltóbevételek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</si>
  <si>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</si>
  <si>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</si>
  <si>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</si>
  <si>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</si>
  <si>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</si>
  <si>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</si>
  <si>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</si>
  <si>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</si>
  <si>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</si>
  <si>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</si>
  <si>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</si>
  <si>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</si>
  <si>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</si>
  <si>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Hitelek, kölcsönök törlesztése külföldi kormányoknak nemz. szervezeteknek</t>
  </si>
  <si>
    <t>Éves tervezett létszám előirányzat (fő)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</si>
  <si>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</si>
  <si>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</si>
  <si>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</si>
  <si>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</si>
  <si>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FINANSZÍROZÁSI KIADÁSOK ÖSSZESEN:</t>
  </si>
  <si>
    <t>Központi, irányító szervi támogatás</t>
  </si>
  <si>
    <t>Építményadó</t>
  </si>
  <si>
    <t>Iparűzési adó</t>
  </si>
  <si>
    <t>Kamatbevételek és más nyereségjellegű bevételek</t>
  </si>
  <si>
    <t>F=(B-D-E)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</si>
  <si>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</si>
  <si>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</si>
  <si>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</si>
  <si>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</si>
  <si>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</si>
  <si>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</si>
  <si>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Egyéb felhalmozási célú kiadások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</si>
  <si>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</si>
  <si>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</si>
  <si>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</si>
  <si>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</si>
  <si>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</si>
  <si>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</si>
  <si>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</si>
  <si>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</si>
  <si>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</si>
  <si>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</si>
  <si>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</si>
  <si>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</si>
  <si>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</si>
  <si>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</si>
  <si>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</si>
  <si>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</si>
  <si>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</si>
  <si>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</si>
  <si>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3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</si>
  <si>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</si>
  <si>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</si>
  <si>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</si>
  <si>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</si>
  <si>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</si>
  <si>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</si>
  <si>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</si>
  <si>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</si>
  <si>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10</t>
  </si>
  <si>
    <t>11</t>
  </si>
  <si>
    <t>12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</si>
  <si>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</si>
  <si>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</si>
  <si>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</si>
  <si>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</si>
  <si>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</si>
  <si>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</si>
  <si>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</si>
  <si>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</si>
  <si>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</si>
  <si>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</si>
  <si>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</si>
  <si>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</si>
  <si>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</si>
  <si>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</si>
  <si>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</si>
  <si>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</si>
  <si>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</si>
  <si>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</si>
  <si>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</si>
  <si>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</si>
  <si>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</si>
  <si>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</si>
  <si>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</si>
  <si>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</si>
  <si>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</si>
  <si>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</si>
  <si>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</si>
  <si>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</si>
  <si>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</si>
  <si>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</si>
  <si>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</si>
  <si>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</si>
  <si>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</si>
  <si>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</si>
  <si>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</si>
  <si>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</si>
  <si>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</si>
  <si>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</si>
  <si>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</si>
  <si>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</si>
  <si>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</si>
  <si>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</si>
  <si>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</si>
  <si>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</si>
  <si>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</si>
  <si>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</si>
  <si>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</si>
  <si>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</si>
  <si>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</si>
  <si>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</si>
  <si>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</si>
  <si>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</si>
  <si>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</si>
  <si>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</si>
  <si>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</si>
  <si>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</si>
  <si>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</si>
  <si>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</si>
  <si>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</si>
  <si>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</si>
  <si>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</si>
  <si>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</si>
  <si>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</si>
  <si>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</si>
  <si>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</si>
  <si>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</si>
  <si>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>Táblázatok adatainak összefüggései</t>
  </si>
  <si>
    <t>Támogatási szerződés szerinti bevételek, kiadások</t>
  </si>
  <si>
    <t xml:space="preserve">Összesen: </t>
  </si>
  <si>
    <t>Telekadó</t>
  </si>
  <si>
    <t>Támogatás összege</t>
  </si>
  <si>
    <t>.</t>
  </si>
  <si>
    <t xml:space="preserve">Önkormányzaton kívüli EU-s projekthez történő hozzájárulás </t>
  </si>
  <si>
    <t>Évenkénti ütemezés</t>
  </si>
  <si>
    <r>
      <t>EU-s projekt neve, azonosítója:</t>
    </r>
    <r>
      <rPr>
        <sz val="11"/>
        <rFont val="Times New Roman"/>
        <family val="1"/>
      </rPr>
      <t>*</t>
    </r>
  </si>
  <si>
    <t>B=(C+D+E)</t>
  </si>
  <si>
    <t xml:space="preserve">* Amennyiben több projekt megvalósítása történi egy időben akkor azokat külön-külön, projektenként be kell mutatni!  </t>
  </si>
  <si>
    <t>Igen</t>
  </si>
  <si>
    <t xml:space="preserve">Talajterhelési díj </t>
  </si>
  <si>
    <t>Kelt,………….…..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</si>
  <si>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</si>
  <si>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</si>
  <si>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>Előirányzat-felhasználási terv 2021. évre</t>
  </si>
  <si>
    <t xml:space="preserve">1. melléklet </t>
  </si>
  <si>
    <t>9</t>
  </si>
  <si>
    <t>2</t>
  </si>
  <si>
    <t>3</t>
  </si>
  <si>
    <t>4</t>
  </si>
  <si>
    <t>5</t>
  </si>
  <si>
    <t>6</t>
  </si>
  <si>
    <t>7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</si>
  <si>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</si>
  <si>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</si>
  <si>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</si>
  <si>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</si>
  <si>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</si>
  <si>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</si>
  <si>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</si>
  <si>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</si>
  <si>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</si>
  <si>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</si>
  <si>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</si>
  <si>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</si>
  <si>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</si>
  <si>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</si>
  <si>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</si>
  <si>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8</t>
  </si>
  <si>
    <t>15</t>
  </si>
  <si>
    <t>22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</si>
  <si>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</si>
  <si>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</si>
  <si>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</si>
  <si>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</si>
  <si>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</si>
  <si>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</si>
  <si>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</si>
  <si>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</si>
  <si>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</si>
  <si>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</si>
  <si>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</si>
  <si>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</si>
  <si>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</si>
  <si>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</si>
  <si>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</si>
  <si>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</si>
  <si>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</si>
  <si>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</si>
  <si>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</si>
  <si>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</si>
  <si>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</si>
  <si>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</si>
  <si>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56</t>
  </si>
  <si>
    <t>57</t>
  </si>
  <si>
    <t>58</t>
  </si>
  <si>
    <t>61</t>
  </si>
  <si>
    <t>62</t>
  </si>
  <si>
    <t>63</t>
  </si>
  <si>
    <t>65</t>
  </si>
  <si>
    <t>66</t>
  </si>
  <si>
    <t>67</t>
  </si>
  <si>
    <t>68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</si>
  <si>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</si>
  <si>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</si>
  <si>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</si>
  <si>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</si>
  <si>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</si>
  <si>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</si>
  <si>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</si>
  <si>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</si>
  <si>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</si>
  <si>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</si>
  <si>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</si>
  <si>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</si>
  <si>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</si>
  <si>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</si>
  <si>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14-ből EU-s támogatás</t>
  </si>
  <si>
    <t>Felhalmozási célú támogatások államháztartáson belülről (17+…+21)</t>
  </si>
  <si>
    <t>Közhatalmi bevételek (24+…+30)</t>
  </si>
  <si>
    <t>Működési bevételek (32+…+ 42)</t>
  </si>
  <si>
    <t>Felhalmozási bevételek (44+…+48)</t>
  </si>
  <si>
    <t>Külföldi finanszírozás bevételei (77+…+80)</t>
  </si>
  <si>
    <t>KÖLTSÉGVETÉSI ÉS FINANSZÍROZÁSI BEVÉTELEK ÖSSZESEN: (59+83)</t>
  </si>
  <si>
    <t>31</t>
  </si>
  <si>
    <t>KÖLTSÉGVETÉSI KIADÁSOK ÖSSZESEN (1+22)</t>
  </si>
  <si>
    <t>FINANSZÍROZÁSI KIADÁSOK ÖSSZESEN: (37+41+48+53+59+60)</t>
  </si>
  <si>
    <t>25-ből EU-s forrásból megvalósuló felújítás</t>
  </si>
  <si>
    <t>Költségvetési hiány, többlet ( költségvetési bevételek 59. sor - költségvetési kiadások 36. sor) (+/-)</t>
  </si>
  <si>
    <t>Önkormányzat működési támogatásai (2+…+.9)</t>
  </si>
  <si>
    <t>Működési célú átvett pénzeszközök (50+ … + 52)</t>
  </si>
  <si>
    <t>Felhalmozási célú átvett pénzeszközök (55+…+57)</t>
  </si>
  <si>
    <t>KÖLTSÉGVETÉSI BEVÉTELEK ÖSSZESEN: (1+16+23+31+43+49+54)</t>
  </si>
  <si>
    <t>Hitel-, kölcsönfelvétel államháztartáson kívülről  (61+…+63)</t>
  </si>
  <si>
    <t>Belföldi értékpapírok bevételei (65 +…+ 68)</t>
  </si>
  <si>
    <t>Maradvány igénybevétele (70 + 71)</t>
  </si>
  <si>
    <t>Belföldi finanszírozás bevételei (73 + … + 75)</t>
  </si>
  <si>
    <t>FINANSZÍROZÁSI BEVÉTELEK ÖSSZESEN: (60 + 64+69+72+76+81+82)</t>
  </si>
  <si>
    <t xml:space="preserve">   - Egyéb elvonások, befizetések</t>
  </si>
  <si>
    <t xml:space="preserve">   - Tartalékok</t>
  </si>
  <si>
    <r>
      <t xml:space="preserve">   Működési költségvetés kiadásai </t>
    </r>
    <r>
      <rPr>
        <sz val="8"/>
        <rFont val="Times New Roman CE"/>
        <family val="0"/>
      </rPr>
      <t>(2+…+6)</t>
    </r>
  </si>
  <si>
    <t xml:space="preserve">         - a 19-ből:             - Általános tartalék</t>
  </si>
  <si>
    <r>
      <t xml:space="preserve">   Felhalmozási költségvetés kiadásai </t>
    </r>
    <r>
      <rPr>
        <sz val="8"/>
        <rFont val="Times New Roman CE"/>
        <family val="0"/>
      </rPr>
      <t>(23+25+27)</t>
    </r>
  </si>
  <si>
    <t>Hitel-, kölcsöntörlesztés államháztartáson kívülre (38+ … + 40)</t>
  </si>
  <si>
    <t>Belföldi értékpapírok kiadásai (42+ … + 47)</t>
  </si>
  <si>
    <t>Belföldi finanszírozás kiadásai (49+ … + 52)</t>
  </si>
  <si>
    <t>Külföldi finanszírozás kiadásai (54+ … + 58)</t>
  </si>
  <si>
    <t>KIADÁSOK ÖSSZESEN: (36.+61)</t>
  </si>
  <si>
    <t>1</t>
  </si>
  <si>
    <t>Önkormányzatok gyermekétkeztetési feladatainak támogatása</t>
  </si>
  <si>
    <t>Előirányzat megnevezése</t>
  </si>
  <si>
    <t>Működési bevételek (2+…+12)</t>
  </si>
  <si>
    <t xml:space="preserve">  16-ból EU támogatás</t>
  </si>
  <si>
    <t>Felhalmozási célú támogatások államháztartáson belülről (20+…+22)</t>
  </si>
  <si>
    <t>Működési célú támogatások államháztartáson belülről (14+…+16)</t>
  </si>
  <si>
    <t>Felhalmozási bevételek (25+…+27)</t>
  </si>
  <si>
    <t>Költségvetési bevételek összesen (1+13+18+19+24+28+29)</t>
  </si>
  <si>
    <t>Finanszírozási bevételek (32+…+34)</t>
  </si>
  <si>
    <t>BEVÉTELEK ÖSSZESEN: (30+31)</t>
  </si>
  <si>
    <t>Működési költségvetés kiadásai (2+…+6)</t>
  </si>
  <si>
    <t>Felhalmozási költségvetés kiadásai (8+…+10)</t>
  </si>
  <si>
    <t>KIADÁSOK ÖSSZESEN: (7+12)</t>
  </si>
  <si>
    <t>23-ból EU-s forrásból megvalósuló beruházás</t>
  </si>
  <si>
    <t>Rövid lejáratú  hitelek, kölcsönök felvétele pénzügyi vállalkozástól</t>
  </si>
  <si>
    <t xml:space="preserve">                                       - Céltartalék</t>
  </si>
  <si>
    <t>27-ből           - Garancia- és kezességvállalásból kifizetés ÁH-n belülre</t>
  </si>
  <si>
    <t xml:space="preserve">   21-ből EU-s támogatás</t>
  </si>
  <si>
    <t xml:space="preserve">  52-ből EU-s támogatás (közvetlen)</t>
  </si>
  <si>
    <t xml:space="preserve">  57-ből EU-s támogatás (közvetlen)</t>
  </si>
  <si>
    <t xml:space="preserve">   - a 6-ból:       - Előző évi elszámolásból származó befizetések</t>
  </si>
  <si>
    <t>KÖLTSÉGVETÉSI BEVÉTELEK ÖSSZESEN: (1+2+3+11…+14)</t>
  </si>
  <si>
    <t>KÖLTSÉGVETÉSI ÉS FINANSZÍROZÁSI BEVÉTELEK ÖSSZESEN: (15+16)</t>
  </si>
  <si>
    <t>KIADÁSOK ÖSSZESEN: (6+47)</t>
  </si>
  <si>
    <t xml:space="preserve"> Felhalmozási költségvetés kiadásai (3+4+5)</t>
  </si>
  <si>
    <t xml:space="preserve"> Működési költségvetés kiadásai </t>
  </si>
  <si>
    <t>Költségvetési bevételek összesen (1+3+4+5+7+…+12.)</t>
  </si>
  <si>
    <t xml:space="preserve">Hiány külső finanszírozásának bevételei (20+…+21) </t>
  </si>
  <si>
    <t>Működési célú finanszírozási bevételek összesen (14+19+22+23)</t>
  </si>
  <si>
    <t>BEVÉTEL ÖSSZESEN (13+24)</t>
  </si>
  <si>
    <t>Költségvetési kiadások összesen (1+...+8+10+…12)</t>
  </si>
  <si>
    <t>Működési célú finanszírozási kiadások összesen (14+...+23)</t>
  </si>
  <si>
    <t>KIADÁSOK ÖSSZESEN (13+24)</t>
  </si>
  <si>
    <t>Költségvetési bevételek összesen: (1+3+4+6+…+11)</t>
  </si>
  <si>
    <t>Felhalmozási célú finanszírozási bevételek összesen (13+19)</t>
  </si>
  <si>
    <t>Költségvetési kiadások összesen: (1+3+5+...+11)</t>
  </si>
  <si>
    <t>Felhalmozási célú finanszírozási kiadások összesen
(13+...+24)</t>
  </si>
  <si>
    <t xml:space="preserve"> Költségvetési maradvány igénybevétele </t>
  </si>
  <si>
    <t xml:space="preserve"> Vállalkozási maradvány igénybevétele </t>
  </si>
  <si>
    <t xml:space="preserve"> Betét visszavonásából származó bevétel </t>
  </si>
  <si>
    <t xml:space="preserve">   10-ből EU-s támogatásból megvalósuló programok, projektek kiadása</t>
  </si>
  <si>
    <t xml:space="preserve">   22-ből EU-s támogatás</t>
  </si>
  <si>
    <t>1.-ból EU-s támogatás</t>
  </si>
  <si>
    <t>5.-ból EU-s támogatás (közvetlen)</t>
  </si>
  <si>
    <t>Működési célú visszatérítendő támogatások, kölcsönök visszatérülése</t>
  </si>
  <si>
    <t>Egyéb működési célú támogatások bevételei</t>
  </si>
  <si>
    <t>Előző évi költségvetési maradvány igénybevétele</t>
  </si>
  <si>
    <t>Előző évi vállalkozási maradvány igénybevétele</t>
  </si>
  <si>
    <t>Működési célú támogatások államháztartáson belülről (10+…+11+…+14)</t>
  </si>
  <si>
    <t>Finanszírozási bevételek, kiadások egyenlege (finanszírozási bevételek 83. sor - finanszírozási kiadások 61. sor)
 (+/-)</t>
  </si>
  <si>
    <t>bevételei, kiadásai</t>
  </si>
  <si>
    <t>KV_11.sz.mell!A1</t>
  </si>
  <si>
    <t>KV_12.sz.mell!A1</t>
  </si>
  <si>
    <t>11. melléklet</t>
  </si>
  <si>
    <t>12. melléklet</t>
  </si>
  <si>
    <t>Kimutatás a 2022. évben céljelleggel juttatott támogatásokról</t>
  </si>
  <si>
    <t>2022. évi általános működés és ágazati feladatok támogatásának alakulása jogcímenként</t>
  </si>
  <si>
    <t>Tájékoztató a 2020. évi tény, 2021. évi várható és 2022. évi terv adatokról</t>
  </si>
  <si>
    <t>2022. évi költségvetési évet követő 3 év tervezett kiadásai, bevételei</t>
  </si>
  <si>
    <t>KV_1.1.sz.mell. Bevételek táblázat B oszlop 59 sora =</t>
  </si>
  <si>
    <t>KV_1.1.sz.mell. Bevételek táblázat B oszlop 83 sora =</t>
  </si>
  <si>
    <t>KV_1.1.sz.mell. Bevételek táblázat B oszlop 84 sora =</t>
  </si>
  <si>
    <t>KV_1.1.sz.mell. Kiadások táblázat B oszlop 36 sora =</t>
  </si>
  <si>
    <t>KV_1.1.sz.mell. Kiadások táblázat B oszlop 62 sora =</t>
  </si>
  <si>
    <t>KV_1.1.sz.mell. Kiadások táblázat B oszlop 61 sora =</t>
  </si>
  <si>
    <t xml:space="preserve">KV_2.1.sz.mell. táblázat B oszlop 13 sor + KV_2.2.sz.mell. táblázat B oszlop 12 sor </t>
  </si>
  <si>
    <t xml:space="preserve">KV_2.1.sz.mell. táblázat B oszlop 24 sor + KV_2.2.sz.mell. táblázat B oszlop 25 sor </t>
  </si>
  <si>
    <t xml:space="preserve">KV_2.1.sz.mell. táblázat B oszlop 25 sor + KV_2.2.sz.mell. táblázat B oszlop 26 sor </t>
  </si>
  <si>
    <t xml:space="preserve">KV_2.1.sz.mell. táblázat D oszlop 13 sor + KV_2.2.sz.mell. táblázat D oszlop 12 sor </t>
  </si>
  <si>
    <t xml:space="preserve">KV_2.1.sz.mell. táblázat D oszlop 24 sor + KV_2.2.sz.mell. táblázat D oszlop 25 sor </t>
  </si>
  <si>
    <t xml:space="preserve">KV_2.1.sz.mell. táblázat D oszlop 25 sor + KV_2.2.sz.mell. táblázat D oszlop 26 sor </t>
  </si>
  <si>
    <t>Közhatalmi bevételek (4….+7……10)</t>
  </si>
  <si>
    <t>Mellékletben külön!</t>
  </si>
  <si>
    <t>ELLENŐRZÉS_KV!A1</t>
  </si>
  <si>
    <t>2022. évi XXV.
törvény 2.  melléklete száma</t>
  </si>
  <si>
    <t>* Magyarország 2023. évi központi költségvetéséról szóló törvény</t>
  </si>
  <si>
    <t>Skoda Octavia pénzügyi lízing</t>
  </si>
  <si>
    <t>Bátaszék Város Önkormányzata</t>
  </si>
  <si>
    <t>Bátaszéki Közös Önkormányzati Hivatal</t>
  </si>
  <si>
    <t>Keresztély Gyula Város Könyvtár</t>
  </si>
  <si>
    <t>1.1.1.1.</t>
  </si>
  <si>
    <t xml:space="preserve">1.1.1.1.  Önkormányzati hivatal működésének támogatása (székhelynél)
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</si>
  <si>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</si>
  <si>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</si>
  <si>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</si>
  <si>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</si>
  <si>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</si>
  <si>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</si>
  <si>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</si>
  <si>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</si>
  <si>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</si>
  <si>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</si>
  <si>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</si>
  <si>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1.1.1.7. Lakott külterülettel kapcsolatos feladatok támogatása</t>
  </si>
  <si>
    <t>1.1.5</t>
  </si>
  <si>
    <t>Közvilágítás kiegészítő támogatása</t>
  </si>
  <si>
    <t>1.1.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</si>
  <si>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</si>
  <si>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</si>
  <si>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</si>
  <si>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1.2.1.3</t>
  </si>
  <si>
    <t>Óvodaműködtetési támogatás - üzemeltetési támogatás</t>
  </si>
  <si>
    <t>1.2.2.1.</t>
  </si>
  <si>
    <t>pedagógusok átlagbéralapú támogatása</t>
  </si>
  <si>
    <t>1.2.3.2.1.1.1.</t>
  </si>
  <si>
    <t>pedagógus II. kategóriába sorolt pedagógusok, pedagógus szakképzettséggel rendelkező segítők kiegészítő támogatása</t>
  </si>
  <si>
    <t>1.2.4.1.1.</t>
  </si>
  <si>
    <t>A köznevelési Kjtvhr. 16. § (6) bekezdés a) pont ac) alpontja és b) pontja alapján nemzetiségi pótlékban részesülő pedagógus</t>
  </si>
  <si>
    <t>1.2.5.1.1.</t>
  </si>
  <si>
    <t>pedagógus szakképzettséggel nem rendelkező segítők átlagbéralapú támogatása</t>
  </si>
  <si>
    <t>1.2.</t>
  </si>
  <si>
    <t>A települési önkormányzatok egyes köznevelési feladatainak támogatása</t>
  </si>
  <si>
    <t>1.3.2.1.</t>
  </si>
  <si>
    <t>Család- és gyermekjóléti szolgálat</t>
  </si>
  <si>
    <t>1.3.2.3.1.</t>
  </si>
  <si>
    <t>Szociális étkeztetés - önálló feladatellátás</t>
  </si>
  <si>
    <t>1.3.2.4.3.</t>
  </si>
  <si>
    <t>Személyi gondozás - társulás által történő feladatellátás</t>
  </si>
  <si>
    <t>1.3.2.6.2.</t>
  </si>
  <si>
    <t>Időskorúak nappali intézményi ellátása - társulás által történő feladatellátás</t>
  </si>
  <si>
    <t>1.3.2.3-1.3.2.15</t>
  </si>
  <si>
    <t>Szociális feladatellátás</t>
  </si>
  <si>
    <t>1.3.3.1.2.</t>
  </si>
  <si>
    <t>Bölcsődei dajkák, középfokú végzettségű kisgyermeknevelők, szaktanácsadók bértámogatása</t>
  </si>
  <si>
    <t>1.3.3.2.</t>
  </si>
  <si>
    <t>Bölcsődei üzemeltetési támogatás</t>
  </si>
  <si>
    <t>1.3.3</t>
  </si>
  <si>
    <t xml:space="preserve">Bölcsőde támogatása 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</si>
  <si>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</si>
  <si>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</si>
  <si>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</si>
  <si>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</si>
  <si>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</si>
  <si>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</si>
  <si>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1.4.</t>
  </si>
  <si>
    <t>A települési önkormányzatok gyermekétkeztetési feladatainak támogatása</t>
  </si>
  <si>
    <t>1.5.2.</t>
  </si>
  <si>
    <t>Települési önkormányzatok egyes kulturális feladatainak támogatása</t>
  </si>
  <si>
    <t>1.5.</t>
  </si>
  <si>
    <t>A települési önkormányzatok kulturális feladatainak támogatása</t>
  </si>
  <si>
    <t>42.5.5</t>
  </si>
  <si>
    <t>Önkormányzati szolidaritási hozzájárulás</t>
  </si>
  <si>
    <t>Hunyadi utca 2/A E/1 villamosrendszer felújítása</t>
  </si>
  <si>
    <t>2023</t>
  </si>
  <si>
    <t>Budai u. 56-58 - egy lakás villamoshálózat felújítás</t>
  </si>
  <si>
    <t>Baross u. 3.épület karbantartás</t>
  </si>
  <si>
    <t>Rendkívűli felújítási és karbantartási feladatok</t>
  </si>
  <si>
    <t>Svábhegy u. 1. közös vizesblokk kial. II. ütem</t>
  </si>
  <si>
    <t>Svábhegy u. 1. egy szükséglakás kial. II. ütem</t>
  </si>
  <si>
    <t>Skoda Octavia lízing</t>
  </si>
  <si>
    <t>2020-2024</t>
  </si>
  <si>
    <t>2021-2023</t>
  </si>
  <si>
    <t>Támogatásértékű működési kiadás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</si>
  <si>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</si>
  <si>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</si>
  <si>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</si>
  <si>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</si>
  <si>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</si>
  <si>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</si>
  <si>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</si>
  <si>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</si>
  <si>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</si>
  <si>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</si>
  <si>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</si>
  <si>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MOB Óvodaműködtetési támogatás</t>
  </si>
  <si>
    <t>MOB Pedag.átlagbéralapú támogatás</t>
  </si>
  <si>
    <t>MOB Ped.II.kategba sorolt pedagógus támog.</t>
  </si>
  <si>
    <t>MOB nemzetiségi pótlék állami támogatás Bátaszék</t>
  </si>
  <si>
    <t>MOB Ped.szakk.nem rend.segítők átlbér támog.</t>
  </si>
  <si>
    <t>MOB bölcsődére átadott állami támogatás Bátaszék</t>
  </si>
  <si>
    <t>MOB gyermekétkeztetés állami támogatása Bátaszék</t>
  </si>
  <si>
    <t>MOB Működési hozzájárulás Bátaszék</t>
  </si>
  <si>
    <t>MOB munkaszervezet működtetésére Bátaszék</t>
  </si>
  <si>
    <t>Német Nemzetiségi Önkormányzat támogatása</t>
  </si>
  <si>
    <t>Roma Nemzetiségi Önkormányzat támogatása</t>
  </si>
  <si>
    <t>Bursa Hungarica ösztöndíjak</t>
  </si>
  <si>
    <t>KÖH tartalékok</t>
  </si>
  <si>
    <t>Működési célú pénzeszközátadás államháztartáson kívülre</t>
  </si>
  <si>
    <t>34.</t>
  </si>
  <si>
    <t>BSE támogatása</t>
  </si>
  <si>
    <t>35.</t>
  </si>
  <si>
    <t>36.</t>
  </si>
  <si>
    <t>Vöröskereszt véradók támogatása</t>
  </si>
  <si>
    <t>37.</t>
  </si>
  <si>
    <t>Vállalkozók Ipartestülete támogatás</t>
  </si>
  <si>
    <t>38.</t>
  </si>
  <si>
    <t>Tűzoltó Köztestület támogatása</t>
  </si>
  <si>
    <t>39.</t>
  </si>
  <si>
    <t>Horgász Egyesület támogatása</t>
  </si>
  <si>
    <t>40.</t>
  </si>
  <si>
    <t>Egyházak pályázható támogatási keretösszege</t>
  </si>
  <si>
    <t>41.</t>
  </si>
  <si>
    <t>Hagyományőrző egyesületek pályázható támogatási keretösszege</t>
  </si>
  <si>
    <t>42.</t>
  </si>
  <si>
    <t>Alapítványok pályázható támogatási keretösszege</t>
  </si>
  <si>
    <t>43.</t>
  </si>
  <si>
    <t>Sportszervezetek pályázható támogatási keretösszege (sakk)</t>
  </si>
  <si>
    <t>44.</t>
  </si>
  <si>
    <t>Közművelődési szervezetek pályázható támogatási keretösszege</t>
  </si>
  <si>
    <t>45.</t>
  </si>
  <si>
    <t>Egyéb civil szervezetek pályázható támogatási keretösszege</t>
  </si>
  <si>
    <t>46.</t>
  </si>
  <si>
    <t xml:space="preserve">Marketing Kft. Közművelődési feladatok (közfeladatellátási szerződés) </t>
  </si>
  <si>
    <t>47.</t>
  </si>
  <si>
    <t xml:space="preserve">Marketing Kft. Múzeumi feladatok (közfeladatellátási szerződés) </t>
  </si>
  <si>
    <t>48.</t>
  </si>
  <si>
    <t xml:space="preserve">Marketing Kft. Rendezvény (közfeladatellátási szerződés) </t>
  </si>
  <si>
    <t>49.</t>
  </si>
  <si>
    <t xml:space="preserve">Marketing Kft. Kiadói tevékenység feladatok (közfeladatellátási szerződés) </t>
  </si>
  <si>
    <t>52.</t>
  </si>
  <si>
    <t>Bát-Kom 2004. Kft. Tanuszoda üzemeltetés kiadása</t>
  </si>
  <si>
    <t>53.</t>
  </si>
  <si>
    <t>Bát-Kom 2004. Kft. Közfeladat-ellátási szerződés városüzemeltetés</t>
  </si>
  <si>
    <t>54.</t>
  </si>
  <si>
    <t>Bát-Kom 2004. Kft. Közfeladat- ellátási szerződés piac üzemeltetése</t>
  </si>
  <si>
    <t>55.</t>
  </si>
  <si>
    <t>Bát-Kom 2004. Kft. Közfeladat-ellátási szerződés sportpálya</t>
  </si>
  <si>
    <t>56.</t>
  </si>
  <si>
    <t>Bát-Kom 2004. Kft. Közfeladat-ellátási szerződés sportcsarnok</t>
  </si>
  <si>
    <t>57.</t>
  </si>
  <si>
    <t>58.</t>
  </si>
  <si>
    <t>Hegedűs J- 1043 hrsz  homlokzat bérlésére átadott pénz 2022.év</t>
  </si>
  <si>
    <t>Támogatásértékű felhalmozási kiadás</t>
  </si>
  <si>
    <t>JHSNY feladat támogatása Bátaszék</t>
  </si>
  <si>
    <t xml:space="preserve"> Felhalmozási célú pénzeszközátadás államháztartáson kívülre</t>
  </si>
  <si>
    <t>Magánszemélyek kommunális adója</t>
  </si>
  <si>
    <t>Forintban</t>
  </si>
  <si>
    <t>Határozat száma</t>
  </si>
  <si>
    <t>Cél</t>
  </si>
  <si>
    <t>Céltartalék</t>
  </si>
  <si>
    <t>Fejlesztési</t>
  </si>
  <si>
    <t>Széchenyi Program pénzeszköz elkülönítés</t>
  </si>
  <si>
    <t>Külterületi utak elk. számla</t>
  </si>
  <si>
    <t>Jótállási biztosíték MNP</t>
  </si>
  <si>
    <t>Fejlesztési céltartalék összesen:</t>
  </si>
  <si>
    <t>Működési</t>
  </si>
  <si>
    <t>Egyensúlyi céltartalék</t>
  </si>
  <si>
    <t>Működési céltartalékok összesen:</t>
  </si>
  <si>
    <t>Mindösszesen</t>
  </si>
  <si>
    <t>VP6-7.2.1-20 Helyi piac fejlesztése</t>
  </si>
  <si>
    <t>Véglegesen átvett pénzeszköz megnevezése</t>
  </si>
  <si>
    <t>Támogatásértékű működési bevételek (2+4+7+9+11+13)</t>
  </si>
  <si>
    <t>NEAK-től átvett pénzeszköz</t>
  </si>
  <si>
    <t>Orvosi rendelőre átvett NEAK támogatás</t>
  </si>
  <si>
    <t>EU-s támogatásból származó bevétel</t>
  </si>
  <si>
    <t>VP6 Helyi piac fejlesztése pályázati bevétel</t>
  </si>
  <si>
    <t>Elkülönített állami pénzalapoktól átvett pénzeszköz</t>
  </si>
  <si>
    <t>Közfoglalkoztatásra átvett</t>
  </si>
  <si>
    <t>Társulások és költségvetési szerveik</t>
  </si>
  <si>
    <t>Bátaapáti TETT</t>
  </si>
  <si>
    <t>Támogatás értékű bevétel központi költségvetési szervtől</t>
  </si>
  <si>
    <t>Támogatás értékű bevétel önkormányzattól</t>
  </si>
  <si>
    <t>A KÖH-re átvett társulási támogatások (munkaszervezet) MOB</t>
  </si>
  <si>
    <t>KÖH</t>
  </si>
  <si>
    <t>A KÖH-re átvett társulási támogatások (munkaszervezet) ESZGY</t>
  </si>
  <si>
    <t>Alsónyék Önkormányzata KÖH hozzájárulás</t>
  </si>
  <si>
    <t>Alsónána Önkormányzata KÖH hozzájárulás</t>
  </si>
  <si>
    <t>Sárpilis Önkormányzata KÖH hozzájárulás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</si>
  <si>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</si>
  <si>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</si>
  <si>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</si>
  <si>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IV. Véglegesen átvett pénzeszközök (2.5.+ 3.5+ 7.3 + 8.3.)</t>
  </si>
  <si>
    <t>Egyéb gép, berendezés</t>
  </si>
  <si>
    <t>140/2021 Ipari parkban lévő földárok nyomvonalának megvált.</t>
  </si>
  <si>
    <t>Egyéb közhatalmi bevétel</t>
  </si>
  <si>
    <t>Ellátottak pénzbeli juttatásai előirányzata és teljesítése</t>
  </si>
  <si>
    <t>#</t>
  </si>
  <si>
    <t>Települési támogatás lakhatás céljára (önk.-i r. 16-20. §)</t>
  </si>
  <si>
    <t>Települési támogatás mélt.-ból gyógyszerkiadások céljára (önk.-i r. 21. §)</t>
  </si>
  <si>
    <t>Települési támogatás rendk.-i települési támogatásra (önk.-i r.12. §)</t>
  </si>
  <si>
    <t>Települési támogatás temetés céljára (önk.-i r. 15. §)</t>
  </si>
  <si>
    <t>Eseti gyógyszerkiadás céljára (önk.-i r. 22. §)</t>
  </si>
  <si>
    <t>Temetés céljára kölcsön (önk.-i r. 28. §)</t>
  </si>
  <si>
    <t>Köztemetés (önk.-i r. 27. §)</t>
  </si>
  <si>
    <t>90 éven felüliek karácsonyi támogatása (önk-i r. 23. § (1) )</t>
  </si>
  <si>
    <t xml:space="preserve">Létfenntartási gonddal küzdők karácsonyi támogatása (önk-i r. 23/A § </t>
  </si>
  <si>
    <t>Település támogatás (6+….+15)</t>
  </si>
  <si>
    <t>Újszülöttek támogatása (Gyer. Önk.-i r. 8. §)</t>
  </si>
  <si>
    <t>Gimnázium iskolakezdési támogatás (Gyer. Önk.-i r. 6. §)</t>
  </si>
  <si>
    <t>Zeneiskolai támogatás (Gyer.önk-i 6/A. §)</t>
  </si>
  <si>
    <t>Szennyvízrákötés (szennyvíz_rákötésR.)</t>
  </si>
  <si>
    <t>Rendkívüli települési támogatás PM hatáskörben azonnali (terv)</t>
  </si>
  <si>
    <t>Egyéb nem intézményi ellátások (16+…+22)</t>
  </si>
  <si>
    <t xml:space="preserve">Ellátottak pénzbeli juttatásai </t>
  </si>
  <si>
    <t>Rendkívüli települési támogatás tüzelő (önk.-i r. 26.§)</t>
  </si>
  <si>
    <t>Települési támogatás természetbeni rendk.-i települési támogatásra (önk.-i r.12. §)</t>
  </si>
  <si>
    <t>Helyi autóbusz-közl. Támogatása, bérlettel (önk.-i r. 24-25. §)</t>
  </si>
  <si>
    <t>Védőoltások</t>
  </si>
  <si>
    <t>Ünnepekhez kapcsolódó támogatások ( önk-i r. 23/A. § (1) bek. A)</t>
  </si>
  <si>
    <t>Természetbeni jutatások összesen</t>
  </si>
  <si>
    <t>2023. évi közfoglakoztatási program önerő a 2022.év alapján</t>
  </si>
  <si>
    <t>Tervezési költségekre céltartalék</t>
  </si>
  <si>
    <t>Szociális kiadások céltartaléka</t>
  </si>
  <si>
    <t xml:space="preserve">Temető belső út (VI. ütem) </t>
  </si>
  <si>
    <t>273/2022 BSE támogatása tiszteletdíj lemondás miatt</t>
  </si>
  <si>
    <t>302/2022 Felsőoktatási tanulmányi ösztöndíj</t>
  </si>
  <si>
    <t>Gyermekétkeztetési térítési díjkedvezmény (+áfa a dologiban)</t>
  </si>
  <si>
    <t>Bát-Kom 2004. Kft. Közfeladat-ellátási szerződés híd és közút üzemeltetés</t>
  </si>
  <si>
    <t>Nem bátaszéki székhelyű civil szervezetek pályázható keretösszege</t>
  </si>
  <si>
    <t xml:space="preserve">Közvilágítási lámpák cseréje IV. ütem </t>
  </si>
  <si>
    <t xml:space="preserve">Ady utcai ingatlan tetőfelújításához </t>
  </si>
  <si>
    <t>Települési önkormányzatok egyes kulturális feladatainak bérjellegű támogatása</t>
  </si>
  <si>
    <t>Polgárőrség támogatása</t>
  </si>
  <si>
    <t>50.</t>
  </si>
  <si>
    <t>51.</t>
  </si>
  <si>
    <t>59.</t>
  </si>
  <si>
    <t>2022-2023</t>
  </si>
  <si>
    <t>KÖH egyéb gép, berendezés</t>
  </si>
  <si>
    <t>Könyvtár könyv beszerzés</t>
  </si>
  <si>
    <t>Életjáradék folyósítása Bátaszék Város Díszpolgára kitüntetésben részesített részére</t>
  </si>
  <si>
    <t>KÖH Népszámlálás visszafizetése</t>
  </si>
  <si>
    <t xml:space="preserve">KÖH TOP Iskola energetika </t>
  </si>
  <si>
    <t>60.</t>
  </si>
  <si>
    <t xml:space="preserve">11/2022 Közvilágítási lámpák cseréje III. ütem </t>
  </si>
  <si>
    <t>A projektre jóváhagyott összes
 bevétel, kiadás</t>
  </si>
  <si>
    <t>Fejlesztési céltartalék</t>
  </si>
  <si>
    <t>Az 5-ből      -Tartalékok - Általános tartalék</t>
  </si>
  <si>
    <t xml:space="preserve">                                       Működési céltartalék</t>
  </si>
  <si>
    <t xml:space="preserve"> 11746005-15414076</t>
  </si>
  <si>
    <t>30 napon túli elismert tartozásállomány összesen: 63 500 Ft</t>
  </si>
  <si>
    <t>Éves eredeti kiadási előirányzat: 1 554 933 244 Ft</t>
  </si>
  <si>
    <t>13. melléklet a … / 2023. ( … ) önkormányzati rendelethez</t>
  </si>
  <si>
    <t>14. melléklet a … / 2023. ( … ) önkormányzati rendelethez</t>
  </si>
  <si>
    <t>15. melléklet a … / 2023. ( … ) önkormányzati rendelethez</t>
  </si>
  <si>
    <t>16. melléklet a … / 2023. ( … ) önkormányzati rendelethez</t>
  </si>
  <si>
    <t>17. melléklet a … / 2023. ( … ) önkormányzati rendelethez</t>
  </si>
  <si>
    <t>18. melléklet a … / 2023. ( … ) önkormányzati rendelethez</t>
  </si>
  <si>
    <t>19. melléklet a … / 2023. ( … ) önkormányzati rendelethez</t>
  </si>
  <si>
    <t>20. melléklet a … / 2023. ( … ) önkormányzati rendelethez</t>
  </si>
  <si>
    <t>2. melléklet a … / 2023. ( … ) önkormányzati rendelethez</t>
  </si>
  <si>
    <t>2023. évi előirányzat</t>
  </si>
  <si>
    <t>Gárdonyi u. 1. - tetőszerkezet teljeskörű karb.</t>
  </si>
  <si>
    <t>8. melléklet a … / 2023. ( … ) önkormányzati rendelethez</t>
  </si>
  <si>
    <t>11. melléklet a … / 2023. ( … ) önkormányzati rendelethez</t>
  </si>
  <si>
    <t>2023. eredeti előirányzat</t>
  </si>
  <si>
    <t>2023.</t>
  </si>
  <si>
    <t>Kóbor János, MÁV emléktábla</t>
  </si>
  <si>
    <t>2023. évi eredeti előirányzat</t>
  </si>
  <si>
    <t>ESZGY Gyermekjóléti és családsegítésre igényelt állami támogatás átadása</t>
  </si>
  <si>
    <t>271 /2022 Marketing Kft támogatása tiszteletdíj lemondás miatt</t>
  </si>
  <si>
    <t>Kulturális bérfejlesztési támogatás 2022. évi elszámolásból adódó visszafizetés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</si>
</sst>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[$¥€-2]\ #\ ##,000_);[Red]\([$€-2]\ #\ ##,000\)"/>
    <numFmt numFmtId="181" formatCode="_-* #,##0\ &quot;Ft&quot;_-;\-* #,##0\ &quot;Ft&quot;_-;_-* &quot;-&quot;??\ &quot;Ft&quot;_-;_-@_-"/>
    <numFmt numFmtId="182" formatCode="#,##0_ ;\-#,##0\ "/>
  </numFmts>
  <fonts count="10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0"/>
      <color indexed="9"/>
      <name val="Times New Roman CE"/>
      <family val="0"/>
    </font>
    <font>
      <sz val="12"/>
      <color indexed="10"/>
      <name val="Times New Roman CE"/>
      <family val="0"/>
    </font>
    <font>
      <sz val="8"/>
      <color indexed="8"/>
      <name val="Times New Roman CE"/>
      <family val="0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0"/>
      <color theme="0"/>
      <name val="Times New Roman CE"/>
      <family val="0"/>
    </font>
    <font>
      <sz val="12"/>
      <color rgb="FFFF0000"/>
      <name val="Times New Roman CE"/>
      <family val="0"/>
    </font>
    <font>
      <sz val="8"/>
      <color theme="1"/>
      <name val="Times New Roman CE"/>
      <family val="0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theme="6" tint="-0.4999699890613556"/>
      </left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4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2" applyFont="1" applyFill="1" applyBorder="1" applyAlignment="1" applyProtection="1">
      <alignment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5" fillId="0" borderId="12" xfId="62" applyFont="1" applyFill="1" applyBorder="1" applyAlignment="1" applyProtection="1">
      <alignment horizontal="left" vertical="center" wrapText="1" indent="1"/>
      <protection/>
    </xf>
    <xf numFmtId="0" fontId="7" fillId="0" borderId="12" xfId="62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12" xfId="62" applyFont="1" applyFill="1" applyBorder="1" applyAlignment="1" applyProtection="1">
      <alignment vertical="center" wrapText="1"/>
      <protection/>
    </xf>
    <xf numFmtId="0" fontId="15" fillId="0" borderId="13" xfId="62" applyFont="1" applyFill="1" applyBorder="1" applyAlignment="1" applyProtection="1">
      <alignment vertical="center" wrapText="1"/>
      <protection/>
    </xf>
    <xf numFmtId="0" fontId="15" fillId="0" borderId="12" xfId="62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2" xfId="63" applyFont="1" applyFill="1" applyBorder="1" applyAlignment="1" applyProtection="1">
      <alignment horizontal="left" vertical="center" indent="1"/>
      <protection/>
    </xf>
    <xf numFmtId="0" fontId="2" fillId="0" borderId="0" xfId="62" applyFill="1">
      <alignment/>
      <protection/>
    </xf>
    <xf numFmtId="0" fontId="17" fillId="0" borderId="0" xfId="62" applyFont="1" applyFill="1">
      <alignment/>
      <protection/>
    </xf>
    <xf numFmtId="0" fontId="18" fillId="0" borderId="0" xfId="62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7" fillId="0" borderId="16" xfId="0" applyNumberFormat="1" applyFont="1" applyFill="1" applyBorder="1" applyAlignment="1" applyProtection="1">
      <alignment horizontal="center" vertical="center" wrapTex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5" fillId="0" borderId="1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vertical="center" wrapText="1"/>
      <protection/>
    </xf>
    <xf numFmtId="166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1" xfId="0" applyNumberFormat="1" applyFont="1" applyFill="1" applyBorder="1" applyAlignment="1" applyProtection="1">
      <alignment vertical="center" wrapText="1"/>
      <protection/>
    </xf>
    <xf numFmtId="166" fontId="15" fillId="0" borderId="12" xfId="0" applyNumberFormat="1" applyFont="1" applyFill="1" applyBorder="1" applyAlignment="1" applyProtection="1">
      <alignment vertical="center" wrapText="1"/>
      <protection/>
    </xf>
    <xf numFmtId="166" fontId="15" fillId="0" borderId="1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166" fontId="14" fillId="0" borderId="19" xfId="0" applyNumberFormat="1" applyFont="1" applyFill="1" applyBorder="1" applyAlignment="1" applyProtection="1">
      <alignment vertical="center" wrapText="1"/>
      <protection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1" xfId="0" applyNumberFormat="1" applyFont="1" applyFill="1" applyBorder="1" applyAlignment="1" applyProtection="1">
      <alignment vertical="center" wrapText="1"/>
      <protection/>
    </xf>
    <xf numFmtId="166" fontId="7" fillId="0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Fill="1" applyBorder="1" applyAlignment="1">
      <alignment horizontal="center" vertical="center" wrapText="1"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3" xfId="63" applyFont="1" applyFill="1" applyBorder="1" applyAlignment="1" applyProtection="1">
      <alignment horizontal="center" vertical="center"/>
      <protection/>
    </xf>
    <xf numFmtId="0" fontId="7" fillId="0" borderId="24" xfId="63" applyFont="1" applyFill="1" applyBorder="1" applyAlignment="1" applyProtection="1">
      <alignment horizontal="center" vertical="center"/>
      <protection/>
    </xf>
    <xf numFmtId="0" fontId="2" fillId="0" borderId="0" xfId="63" applyFill="1" applyProtection="1">
      <alignment/>
      <protection/>
    </xf>
    <xf numFmtId="0" fontId="17" fillId="0" borderId="14" xfId="63" applyFont="1" applyFill="1" applyBorder="1" applyAlignment="1" applyProtection="1">
      <alignment horizontal="left" vertical="center" indent="1"/>
      <protection/>
    </xf>
    <xf numFmtId="0" fontId="2" fillId="0" borderId="0" xfId="63" applyFill="1" applyAlignment="1" applyProtection="1">
      <alignment vertical="center"/>
      <protection/>
    </xf>
    <xf numFmtId="0" fontId="17" fillId="0" borderId="15" xfId="63" applyFont="1" applyFill="1" applyBorder="1" applyAlignment="1" applyProtection="1">
      <alignment horizontal="left" vertical="center" indent="1"/>
      <protection/>
    </xf>
    <xf numFmtId="166" fontId="17" fillId="0" borderId="19" xfId="63" applyNumberFormat="1" applyFont="1" applyFill="1" applyBorder="1" applyAlignment="1" applyProtection="1">
      <alignment vertical="center"/>
      <protection/>
    </xf>
    <xf numFmtId="0" fontId="2" fillId="0" borderId="0" xfId="63" applyFill="1" applyAlignment="1" applyProtection="1">
      <alignment vertical="center"/>
      <protection locked="0"/>
    </xf>
    <xf numFmtId="166" fontId="17" fillId="0" borderId="23" xfId="63" applyNumberFormat="1" applyFont="1" applyFill="1" applyBorder="1" applyAlignment="1" applyProtection="1">
      <alignment vertical="center"/>
      <protection/>
    </xf>
    <xf numFmtId="166" fontId="15" fillId="0" borderId="16" xfId="63" applyNumberFormat="1" applyFont="1" applyFill="1" applyBorder="1" applyAlignment="1" applyProtection="1">
      <alignment vertical="center"/>
      <protection/>
    </xf>
    <xf numFmtId="0" fontId="17" fillId="0" borderId="25" xfId="63" applyFont="1" applyFill="1" applyBorder="1" applyAlignment="1" applyProtection="1">
      <alignment horizontal="left" vertical="center" indent="1"/>
      <protection/>
    </xf>
    <xf numFmtId="0" fontId="15" fillId="0" borderId="14" xfId="63" applyFont="1" applyFill="1" applyBorder="1" applyAlignment="1" applyProtection="1">
      <alignment horizontal="left" vertical="center" indent="1"/>
      <protection/>
    </xf>
    <xf numFmtId="166" fontId="15" fillId="0" borderId="16" xfId="63" applyNumberFormat="1" applyFont="1" applyFill="1" applyBorder="1" applyProtection="1">
      <alignment/>
      <protection/>
    </xf>
    <xf numFmtId="0" fontId="2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 locked="0"/>
    </xf>
    <xf numFmtId="0" fontId="6" fillId="0" borderId="0" xfId="63" applyFont="1" applyFill="1" applyProtection="1">
      <alignment/>
      <protection locked="0"/>
    </xf>
    <xf numFmtId="166" fontId="15" fillId="33" borderId="12" xfId="0" applyNumberFormat="1" applyFont="1" applyFill="1" applyBorder="1" applyAlignment="1" applyProtection="1">
      <alignment vertical="center" wrapText="1"/>
      <protection/>
    </xf>
    <xf numFmtId="166" fontId="7" fillId="33" borderId="12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5" fillId="0" borderId="12" xfId="62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Fill="1">
      <alignment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12" xfId="62" applyFont="1" applyFill="1" applyBorder="1" applyAlignment="1" applyProtection="1">
      <alignment horizontal="left" vertical="center" wrapText="1"/>
      <protection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30" xfId="62" applyNumberFormat="1" applyFont="1" applyFill="1" applyBorder="1" applyAlignment="1" applyProtection="1">
      <alignment horizontal="left" vertical="center"/>
      <protection/>
    </xf>
    <xf numFmtId="0" fontId="17" fillId="0" borderId="10" xfId="62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66" fontId="4" fillId="0" borderId="0" xfId="62" applyNumberFormat="1" applyFont="1" applyFill="1" applyBorder="1" applyAlignment="1" applyProtection="1">
      <alignment horizontal="centerContinuous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26" xfId="0" applyNumberFormat="1" applyFont="1" applyFill="1" applyBorder="1" applyAlignment="1" applyProtection="1">
      <alignment vertical="center"/>
      <protection locked="0"/>
    </xf>
    <xf numFmtId="166" fontId="17" fillId="0" borderId="10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29" xfId="62" applyFont="1" applyFill="1" applyBorder="1" applyAlignment="1" applyProtection="1">
      <alignment horizontal="center" vertical="center" wrapText="1"/>
      <protection/>
    </xf>
    <xf numFmtId="0" fontId="15" fillId="0" borderId="32" xfId="62" applyFont="1" applyFill="1" applyBorder="1" applyAlignment="1" applyProtection="1">
      <alignment horizontal="center" vertical="center" wrapText="1"/>
      <protection/>
    </xf>
    <xf numFmtId="0" fontId="15" fillId="0" borderId="33" xfId="62" applyFont="1" applyFill="1" applyBorder="1" applyAlignment="1" applyProtection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center" vertical="center"/>
      <protection/>
    </xf>
    <xf numFmtId="0" fontId="17" fillId="0" borderId="29" xfId="62" applyFont="1" applyFill="1" applyBorder="1" applyAlignment="1" applyProtection="1">
      <alignment horizontal="center" vertical="center"/>
      <protection/>
    </xf>
    <xf numFmtId="0" fontId="17" fillId="0" borderId="15" xfId="62" applyFont="1" applyFill="1" applyBorder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166" fontId="7" fillId="0" borderId="12" xfId="0" applyNumberFormat="1" applyFont="1" applyFill="1" applyBorder="1" applyAlignment="1" applyProtection="1">
      <alignment horizontal="center" vertical="center" wrapText="1"/>
      <protection/>
    </xf>
    <xf numFmtId="166" fontId="7" fillId="0" borderId="14" xfId="0" applyNumberFormat="1" applyFont="1" applyFill="1" applyBorder="1" applyAlignment="1" applyProtection="1">
      <alignment horizontal="left" vertical="center" wrapText="1"/>
      <protection/>
    </xf>
    <xf numFmtId="16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 vertical="center" wrapText="1" indent="1"/>
      <protection/>
    </xf>
    <xf numFmtId="0" fontId="20" fillId="0" borderId="28" xfId="0" applyFont="1" applyFill="1" applyBorder="1" applyAlignment="1" applyProtection="1">
      <alignment horizontal="left" vertical="center" wrapText="1" indent="1"/>
      <protection/>
    </xf>
    <xf numFmtId="0" fontId="20" fillId="0" borderId="28" xfId="0" applyFont="1" applyFill="1" applyBorder="1" applyAlignment="1" applyProtection="1">
      <alignment horizontal="left" vertical="center" wrapText="1" indent="8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6" fontId="15" fillId="0" borderId="18" xfId="0" applyNumberFormat="1" applyFont="1" applyFill="1" applyBorder="1" applyAlignment="1" applyProtection="1">
      <alignment vertical="center" wrapText="1"/>
      <protection/>
    </xf>
    <xf numFmtId="166" fontId="15" fillId="0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25" xfId="0" applyFont="1" applyFill="1" applyBorder="1" applyAlignment="1" applyProtection="1">
      <alignment horizontal="center" vertical="center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166" fontId="15" fillId="0" borderId="19" xfId="0" applyNumberFormat="1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166" fontId="15" fillId="0" borderId="21" xfId="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6" fontId="15" fillId="0" borderId="12" xfId="0" applyNumberFormat="1" applyFont="1" applyFill="1" applyBorder="1" applyAlignment="1" applyProtection="1">
      <alignment vertical="center"/>
      <protection/>
    </xf>
    <xf numFmtId="166" fontId="15" fillId="0" borderId="16" xfId="0" applyNumberFormat="1" applyFon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43" xfId="0" applyNumberFormat="1" applyFont="1" applyFill="1" applyBorder="1" applyAlignment="1" applyProtection="1">
      <alignment horizontal="center" vertical="center"/>
      <protection/>
    </xf>
    <xf numFmtId="166" fontId="7" fillId="0" borderId="44" xfId="0" applyNumberFormat="1" applyFont="1" applyFill="1" applyBorder="1" applyAlignment="1" applyProtection="1">
      <alignment horizontal="center" vertical="center" wrapText="1"/>
      <protection/>
    </xf>
    <xf numFmtId="166" fontId="15" fillId="0" borderId="45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46" xfId="0" applyNumberFormat="1" applyFont="1" applyFill="1" applyBorder="1" applyAlignment="1" applyProtection="1">
      <alignment horizontal="center" vertical="center" wrapTex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15" fillId="0" borderId="14" xfId="0" applyNumberFormat="1" applyFont="1" applyFill="1" applyBorder="1" applyAlignment="1" applyProtection="1">
      <alignment horizontal="center" vertical="center" wrapText="1"/>
      <protection/>
    </xf>
    <xf numFmtId="166" fontId="15" fillId="0" borderId="15" xfId="0" applyNumberFormat="1" applyFont="1" applyFill="1" applyBorder="1" applyAlignment="1" applyProtection="1">
      <alignment horizontal="center" vertical="center" wrapText="1"/>
      <protection/>
    </xf>
    <xf numFmtId="166" fontId="17" fillId="0" borderId="48" xfId="0" applyNumberFormat="1" applyFont="1" applyFill="1" applyBorder="1" applyAlignment="1" applyProtection="1">
      <alignment vertical="center" wrapText="1"/>
      <protection/>
    </xf>
    <xf numFmtId="166" fontId="17" fillId="0" borderId="49" xfId="0" applyNumberFormat="1" applyFont="1" applyFill="1" applyBorder="1" applyAlignment="1" applyProtection="1">
      <alignment vertical="center" wrapText="1"/>
      <protection/>
    </xf>
    <xf numFmtId="166" fontId="17" fillId="0" borderId="47" xfId="0" applyNumberFormat="1" applyFont="1" applyFill="1" applyBorder="1" applyAlignment="1" applyProtection="1">
      <alignment vertical="center" wrapText="1"/>
      <protection/>
    </xf>
    <xf numFmtId="0" fontId="17" fillId="0" borderId="10" xfId="63" applyFont="1" applyFill="1" applyBorder="1" applyAlignment="1" applyProtection="1">
      <alignment horizontal="left" vertical="center" indent="1"/>
      <protection/>
    </xf>
    <xf numFmtId="0" fontId="17" fillId="0" borderId="26" xfId="63" applyFont="1" applyFill="1" applyBorder="1" applyAlignment="1" applyProtection="1">
      <alignment horizontal="left" vertical="center" wrapText="1" indent="1"/>
      <protection/>
    </xf>
    <xf numFmtId="0" fontId="17" fillId="0" borderId="10" xfId="63" applyFont="1" applyFill="1" applyBorder="1" applyAlignment="1" applyProtection="1">
      <alignment horizontal="left" vertical="center" wrapText="1" indent="1"/>
      <protection/>
    </xf>
    <xf numFmtId="0" fontId="17" fillId="0" borderId="26" xfId="63" applyFont="1" applyFill="1" applyBorder="1" applyAlignment="1" applyProtection="1">
      <alignment horizontal="left" vertical="center" indent="1"/>
      <protection/>
    </xf>
    <xf numFmtId="0" fontId="7" fillId="0" borderId="12" xfId="63" applyFont="1" applyFill="1" applyBorder="1" applyAlignment="1" applyProtection="1">
      <alignment horizontal="left" indent="1"/>
      <protection/>
    </xf>
    <xf numFmtId="166" fontId="17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166" fontId="15" fillId="0" borderId="24" xfId="62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6" xfId="62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6" xfId="0" applyNumberFormat="1" applyFont="1" applyBorder="1" applyAlignment="1" applyProtection="1">
      <alignment horizontal="right" vertical="center" wrapText="1" indent="1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1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14" xfId="0" applyNumberFormat="1" applyFont="1" applyFill="1" applyBorder="1" applyAlignment="1" applyProtection="1">
      <alignment horizontal="center" vertical="center" wrapText="1"/>
      <protection/>
    </xf>
    <xf numFmtId="166" fontId="15" fillId="0" borderId="12" xfId="0" applyNumberFormat="1" applyFont="1" applyFill="1" applyBorder="1" applyAlignment="1" applyProtection="1">
      <alignment horizontal="center" vertical="center" wrapTex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25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4" xfId="62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7" fillId="0" borderId="5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9" xfId="62" applyFont="1" applyFill="1" applyBorder="1" applyAlignment="1" applyProtection="1">
      <alignment horizontal="center" vertical="center" wrapText="1"/>
      <protection/>
    </xf>
    <xf numFmtId="0" fontId="15" fillId="0" borderId="13" xfId="62" applyFont="1" applyFill="1" applyBorder="1" applyAlignment="1" applyProtection="1">
      <alignment horizontal="center" vertical="center" wrapText="1"/>
      <protection/>
    </xf>
    <xf numFmtId="0" fontId="2" fillId="0" borderId="0" xfId="62" applyFill="1" applyProtection="1">
      <alignment/>
      <protection/>
    </xf>
    <xf numFmtId="0" fontId="17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2" fillId="0" borderId="0" xfId="62" applyFill="1" applyAlignment="1" applyProtection="1">
      <alignment/>
      <protection/>
    </xf>
    <xf numFmtId="0" fontId="18" fillId="0" borderId="0" xfId="62" applyFont="1" applyFill="1" applyProtection="1">
      <alignment/>
      <protection/>
    </xf>
    <xf numFmtId="0" fontId="6" fillId="0" borderId="0" xfId="62" applyFont="1" applyFill="1" applyProtection="1">
      <alignment/>
      <protection/>
    </xf>
    <xf numFmtId="0" fontId="2" fillId="0" borderId="0" xfId="62" applyFill="1" applyBorder="1" applyProtection="1">
      <alignment/>
      <protection/>
    </xf>
    <xf numFmtId="166" fontId="17" fillId="0" borderId="15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5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0" fontId="15" fillId="0" borderId="31" xfId="6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>
      <alignment/>
      <protection/>
    </xf>
    <xf numFmtId="0" fontId="15" fillId="0" borderId="14" xfId="62" applyFont="1" applyFill="1" applyBorder="1" applyAlignment="1" applyProtection="1">
      <alignment horizontal="center" vertical="center"/>
      <protection/>
    </xf>
    <xf numFmtId="166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174" fontId="3" fillId="0" borderId="11" xfId="62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15" fillId="0" borderId="18" xfId="62" applyFont="1" applyFill="1" applyBorder="1" applyAlignment="1" applyProtection="1">
      <alignment vertical="center" wrapText="1"/>
      <protection/>
    </xf>
    <xf numFmtId="166" fontId="15" fillId="0" borderId="34" xfId="62" applyNumberFormat="1" applyFont="1" applyFill="1" applyBorder="1" applyAlignment="1" applyProtection="1">
      <alignment horizontal="right" vertical="center" wrapText="1" indent="1"/>
      <protection/>
    </xf>
    <xf numFmtId="166" fontId="21" fillId="0" borderId="1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7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8" xfId="62" applyFont="1" applyFill="1" applyBorder="1" applyAlignment="1" applyProtection="1">
      <alignment horizontal="center" vertical="center" wrapText="1"/>
      <protection/>
    </xf>
    <xf numFmtId="0" fontId="0" fillId="0" borderId="0" xfId="62" applyFont="1" applyFill="1" applyBorder="1" applyProtection="1">
      <alignment/>
      <protection/>
    </xf>
    <xf numFmtId="166" fontId="19" fillId="0" borderId="12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31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12" xfId="62" applyFont="1" applyFill="1" applyBorder="1" applyAlignment="1" applyProtection="1">
      <alignment horizontal="center" vertical="center"/>
      <protection/>
    </xf>
    <xf numFmtId="0" fontId="15" fillId="0" borderId="16" xfId="62" applyFont="1" applyFill="1" applyBorder="1" applyAlignment="1" applyProtection="1">
      <alignment horizontal="center" vertical="center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14" xfId="0" applyNumberFormat="1" applyFont="1" applyFill="1" applyBorder="1" applyAlignment="1" applyProtection="1">
      <alignment vertical="center" wrapText="1"/>
      <protection/>
    </xf>
    <xf numFmtId="166" fontId="29" fillId="0" borderId="12" xfId="0" applyNumberFormat="1" applyFont="1" applyFill="1" applyBorder="1" applyAlignment="1" applyProtection="1">
      <alignment vertical="center" wrapText="1"/>
      <protection/>
    </xf>
    <xf numFmtId="166" fontId="29" fillId="0" borderId="16" xfId="0" applyNumberFormat="1" applyFont="1" applyFill="1" applyBorder="1" applyAlignment="1" applyProtection="1">
      <alignment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48" xfId="0" applyNumberFormat="1" applyFont="1" applyFill="1" applyBorder="1" applyAlignment="1" applyProtection="1">
      <alignment vertical="center" wrapText="1"/>
      <protection locked="0"/>
    </xf>
    <xf numFmtId="166" fontId="29" fillId="0" borderId="15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9" xfId="0" applyNumberFormat="1" applyFont="1" applyFill="1" applyBorder="1" applyAlignment="1" applyProtection="1">
      <alignment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49" xfId="0" applyNumberFormat="1" applyFont="1" applyFill="1" applyBorder="1" applyAlignment="1" applyProtection="1">
      <alignment vertical="center" wrapText="1"/>
      <protection locked="0"/>
    </xf>
    <xf numFmtId="166" fontId="29" fillId="0" borderId="20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21" xfId="0" applyNumberFormat="1" applyFont="1" applyFill="1" applyBorder="1" applyAlignment="1" applyProtection="1">
      <alignment vertical="center" wrapText="1"/>
      <protection locked="0"/>
    </xf>
    <xf numFmtId="49" fontId="29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47" xfId="0" applyNumberFormat="1" applyFont="1" applyFill="1" applyBorder="1" applyAlignment="1" applyProtection="1">
      <alignment vertical="center" wrapText="1"/>
      <protection locked="0"/>
    </xf>
    <xf numFmtId="166" fontId="29" fillId="0" borderId="55" xfId="0" applyNumberFormat="1" applyFont="1" applyFill="1" applyBorder="1" applyAlignment="1" applyProtection="1">
      <alignment vertical="center" wrapText="1"/>
      <protection locked="0"/>
    </xf>
    <xf numFmtId="166" fontId="29" fillId="0" borderId="59" xfId="0" applyNumberFormat="1" applyFont="1" applyFill="1" applyBorder="1" applyAlignment="1" applyProtection="1">
      <alignment vertical="center" wrapText="1"/>
      <protection locked="0"/>
    </xf>
    <xf numFmtId="166" fontId="29" fillId="0" borderId="52" xfId="0" applyNumberFormat="1" applyFont="1" applyFill="1" applyBorder="1" applyAlignment="1" applyProtection="1">
      <alignment vertical="center" wrapText="1"/>
      <protection locked="0"/>
    </xf>
    <xf numFmtId="166" fontId="31" fillId="0" borderId="10" xfId="63" applyNumberFormat="1" applyFont="1" applyFill="1" applyBorder="1" applyAlignment="1" applyProtection="1">
      <alignment vertical="center"/>
      <protection locked="0"/>
    </xf>
    <xf numFmtId="166" fontId="31" fillId="0" borderId="26" xfId="63" applyNumberFormat="1" applyFont="1" applyFill="1" applyBorder="1" applyAlignment="1" applyProtection="1">
      <alignment vertical="center"/>
      <protection locked="0"/>
    </xf>
    <xf numFmtId="166" fontId="32" fillId="0" borderId="12" xfId="63" applyNumberFormat="1" applyFont="1" applyFill="1" applyBorder="1" applyAlignment="1" applyProtection="1">
      <alignment vertical="center"/>
      <protection/>
    </xf>
    <xf numFmtId="166" fontId="32" fillId="0" borderId="12" xfId="63" applyNumberFormat="1" applyFont="1" applyFill="1" applyBorder="1" applyProtection="1">
      <alignment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0" fillId="0" borderId="0" xfId="62" applyFont="1" applyFill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" vertical="center" wrapText="1"/>
      <protection/>
    </xf>
    <xf numFmtId="0" fontId="3" fillId="0" borderId="16" xfId="62" applyFont="1" applyFill="1" applyBorder="1" applyAlignment="1" applyProtection="1">
      <alignment horizontal="center" vertical="center" wrapText="1"/>
      <protection/>
    </xf>
    <xf numFmtId="0" fontId="7" fillId="0" borderId="13" xfId="62" applyFont="1" applyFill="1" applyBorder="1" applyAlignment="1" applyProtection="1">
      <alignment horizontal="center" vertical="center" wrapTex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166" fontId="17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0" xfId="0" applyFont="1" applyAlignment="1">
      <alignment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4" borderId="0" xfId="0" applyFont="1" applyFill="1" applyAlignment="1">
      <alignment horizontal="center" vertical="center"/>
    </xf>
    <xf numFmtId="0" fontId="97" fillId="34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 quotePrefix="1">
      <alignment horizontal="right" vertical="center" indent="1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8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2" fillId="0" borderId="0" xfId="62" applyFont="1" applyFill="1" applyProtection="1">
      <alignment/>
      <protection locked="0"/>
    </xf>
    <xf numFmtId="0" fontId="2" fillId="0" borderId="0" xfId="62" applyFont="1" applyFill="1" applyAlignment="1" applyProtection="1">
      <alignment horizontal="right" vertical="center" indent="1"/>
      <protection locked="0"/>
    </xf>
    <xf numFmtId="0" fontId="7" fillId="0" borderId="12" xfId="62" applyFont="1" applyFill="1" applyBorder="1" applyAlignment="1" applyProtection="1">
      <alignment horizontal="center" vertical="center" wrapText="1"/>
      <protection locked="0"/>
    </xf>
    <xf numFmtId="166" fontId="99" fillId="0" borderId="0" xfId="62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62" applyFont="1" applyFill="1" applyAlignment="1" applyProtection="1">
      <alignment vertical="center"/>
      <protection/>
    </xf>
    <xf numFmtId="0" fontId="86" fillId="0" borderId="0" xfId="46" applyAlignment="1" applyProtection="1">
      <alignment/>
      <protection/>
    </xf>
    <xf numFmtId="0" fontId="33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166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00" fillId="0" borderId="0" xfId="0" applyFont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66" fontId="17" fillId="0" borderId="57" xfId="62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2" applyFont="1" applyFill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17" fillId="0" borderId="32" xfId="62" applyFont="1" applyFill="1" applyBorder="1" applyAlignment="1" applyProtection="1">
      <alignment horizontal="left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/>
      <protection/>
    </xf>
    <xf numFmtId="0" fontId="17" fillId="0" borderId="28" xfId="62" applyFont="1" applyFill="1" applyBorder="1" applyAlignment="1" applyProtection="1">
      <alignment horizontal="left" vertical="center" wrapText="1"/>
      <protection/>
    </xf>
    <xf numFmtId="0" fontId="17" fillId="0" borderId="11" xfId="62" applyFont="1" applyFill="1" applyBorder="1" applyAlignment="1" applyProtection="1">
      <alignment horizontal="left" vertical="center" wrapText="1"/>
      <protection/>
    </xf>
    <xf numFmtId="0" fontId="17" fillId="0" borderId="26" xfId="62" applyFont="1" applyFill="1" applyBorder="1" applyAlignment="1" applyProtection="1">
      <alignment horizontal="left" vertical="center" wrapText="1"/>
      <protection/>
    </xf>
    <xf numFmtId="0" fontId="17" fillId="0" borderId="59" xfId="62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66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17" fillId="0" borderId="25" xfId="0" applyNumberFormat="1" applyFont="1" applyBorder="1" applyAlignment="1">
      <alignment horizontal="left" vertical="center" wrapText="1" indent="1"/>
    </xf>
    <xf numFmtId="166" fontId="17" fillId="0" borderId="15" xfId="0" applyNumberFormat="1" applyFont="1" applyBorder="1" applyAlignment="1">
      <alignment horizontal="left" vertical="center" wrapText="1" indent="1"/>
    </xf>
    <xf numFmtId="166" fontId="17" fillId="0" borderId="55" xfId="0" applyNumberFormat="1" applyFont="1" applyBorder="1" applyAlignment="1">
      <alignment horizontal="left" vertical="center" wrapText="1" indent="1"/>
    </xf>
    <xf numFmtId="166" fontId="0" fillId="0" borderId="0" xfId="60" applyNumberFormat="1" applyAlignment="1">
      <alignment vertical="center" wrapText="1"/>
      <protection/>
    </xf>
    <xf numFmtId="166" fontId="9" fillId="0" borderId="0" xfId="60" applyNumberFormat="1" applyFont="1" applyAlignment="1" applyProtection="1">
      <alignment vertical="center" wrapText="1"/>
      <protection locked="0"/>
    </xf>
    <xf numFmtId="166" fontId="15" fillId="0" borderId="22" xfId="60" applyNumberFormat="1" applyFont="1" applyBorder="1" applyAlignment="1">
      <alignment horizontal="center" vertical="center" wrapText="1"/>
      <protection/>
    </xf>
    <xf numFmtId="166" fontId="5" fillId="0" borderId="30" xfId="60" applyNumberFormat="1" applyFont="1" applyBorder="1" applyAlignment="1">
      <alignment horizontal="right" vertical="center"/>
      <protection/>
    </xf>
    <xf numFmtId="166" fontId="5" fillId="0" borderId="30" xfId="60" applyNumberFormat="1" applyFont="1" applyBorder="1" applyAlignment="1" applyProtection="1">
      <alignment horizontal="right" vertical="center"/>
      <protection locked="0"/>
    </xf>
    <xf numFmtId="166" fontId="3" fillId="0" borderId="22" xfId="60" applyNumberFormat="1" applyFont="1" applyBorder="1" applyAlignment="1">
      <alignment horizontal="center" vertical="center" wrapText="1"/>
      <protection/>
    </xf>
    <xf numFmtId="3" fontId="0" fillId="0" borderId="60" xfId="60" applyNumberFormat="1" applyBorder="1" applyAlignment="1" applyProtection="1">
      <alignment horizontal="right" vertical="center" wrapText="1"/>
      <protection locked="0"/>
    </xf>
    <xf numFmtId="3" fontId="0" fillId="0" borderId="49" xfId="60" applyNumberFormat="1" applyBorder="1" applyAlignment="1" applyProtection="1">
      <alignment horizontal="right" vertical="center" wrapText="1"/>
      <protection locked="0"/>
    </xf>
    <xf numFmtId="166" fontId="3" fillId="0" borderId="22" xfId="60" applyNumberFormat="1" applyFont="1" applyBorder="1" applyAlignment="1">
      <alignment horizontal="right" vertical="center" wrapText="1"/>
      <protection/>
    </xf>
    <xf numFmtId="166" fontId="3" fillId="0" borderId="0" xfId="60" applyNumberFormat="1" applyFont="1" applyAlignment="1">
      <alignment horizontal="left" vertical="center" wrapText="1"/>
      <protection/>
    </xf>
    <xf numFmtId="166" fontId="3" fillId="0" borderId="0" xfId="60" applyNumberFormat="1" applyFont="1" applyAlignment="1">
      <alignment horizontal="right" vertical="center" wrapText="1"/>
      <protection/>
    </xf>
    <xf numFmtId="166" fontId="15" fillId="0" borderId="61" xfId="60" applyNumberFormat="1" applyFont="1" applyBorder="1" applyAlignment="1">
      <alignment horizontal="center" vertical="center"/>
      <protection/>
    </xf>
    <xf numFmtId="166" fontId="15" fillId="0" borderId="22" xfId="60" applyNumberFormat="1" applyFont="1" applyBorder="1" applyAlignment="1">
      <alignment horizontal="center" vertical="center"/>
      <protection/>
    </xf>
    <xf numFmtId="166" fontId="15" fillId="0" borderId="62" xfId="60" applyNumberFormat="1" applyFont="1" applyBorder="1" applyAlignment="1">
      <alignment horizontal="center" vertical="center"/>
      <protection/>
    </xf>
    <xf numFmtId="166" fontId="15" fillId="0" borderId="62" xfId="60" applyNumberFormat="1" applyFont="1" applyBorder="1" applyAlignment="1">
      <alignment horizontal="center" vertical="center" wrapText="1"/>
      <protection/>
    </xf>
    <xf numFmtId="49" fontId="14" fillId="0" borderId="63" xfId="60" applyNumberFormat="1" applyFont="1" applyBorder="1" applyAlignment="1">
      <alignment horizontal="left" vertical="center"/>
      <protection/>
    </xf>
    <xf numFmtId="49" fontId="39" fillId="0" borderId="64" xfId="60" applyNumberFormat="1" applyFont="1" applyBorder="1" applyAlignment="1" quotePrefix="1">
      <alignment horizontal="left" vertical="center"/>
      <protection/>
    </xf>
    <xf numFmtId="49" fontId="14" fillId="0" borderId="64" xfId="60" applyNumberFormat="1" applyFont="1" applyBorder="1" applyAlignment="1">
      <alignment horizontal="left" vertical="center"/>
      <protection/>
    </xf>
    <xf numFmtId="49" fontId="7" fillId="0" borderId="45" xfId="60" applyNumberFormat="1" applyFont="1" applyBorder="1" applyAlignment="1" applyProtection="1">
      <alignment horizontal="left" vertical="center"/>
      <protection locked="0"/>
    </xf>
    <xf numFmtId="49" fontId="14" fillId="0" borderId="25" xfId="60" applyNumberFormat="1" applyFont="1" applyBorder="1" applyAlignment="1">
      <alignment horizontal="left" vertical="center"/>
      <protection/>
    </xf>
    <xf numFmtId="49" fontId="14" fillId="0" borderId="15" xfId="60" applyNumberFormat="1" applyFont="1" applyBorder="1" applyAlignment="1">
      <alignment horizontal="left" vertical="center"/>
      <protection/>
    </xf>
    <xf numFmtId="49" fontId="14" fillId="0" borderId="20" xfId="60" applyNumberFormat="1" applyFont="1" applyBorder="1" applyAlignment="1" applyProtection="1">
      <alignment horizontal="left" vertical="center"/>
      <protection locked="0"/>
    </xf>
    <xf numFmtId="175" fontId="7" fillId="0" borderId="22" xfId="60" applyNumberFormat="1" applyFont="1" applyBorder="1" applyAlignment="1">
      <alignment horizontal="left" vertical="center" wrapText="1"/>
      <protection/>
    </xf>
    <xf numFmtId="0" fontId="0" fillId="0" borderId="0" xfId="60" applyAlignment="1">
      <alignment vertical="center"/>
      <protection/>
    </xf>
    <xf numFmtId="0" fontId="3" fillId="0" borderId="65" xfId="0" applyFont="1" applyBorder="1" applyAlignment="1">
      <alignment/>
    </xf>
    <xf numFmtId="49" fontId="17" fillId="0" borderId="25" xfId="62" applyNumberFormat="1" applyFont="1" applyFill="1" applyBorder="1" applyAlignment="1" applyProtection="1">
      <alignment horizontal="right" vertical="center" wrapText="1" indent="1"/>
      <protection/>
    </xf>
    <xf numFmtId="49" fontId="17" fillId="0" borderId="55" xfId="62" applyNumberFormat="1" applyFont="1" applyFill="1" applyBorder="1" applyAlignment="1" applyProtection="1">
      <alignment horizontal="right" vertical="center" wrapText="1" indent="1"/>
      <protection/>
    </xf>
    <xf numFmtId="49" fontId="17" fillId="0" borderId="15" xfId="62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62" applyFont="1" applyFill="1" applyBorder="1" applyAlignment="1" applyProtection="1">
      <alignment horizontal="right" vertical="center" wrapText="1" indent="1"/>
      <protection/>
    </xf>
    <xf numFmtId="0" fontId="21" fillId="0" borderId="14" xfId="0" applyFont="1" applyBorder="1" applyAlignment="1" applyProtection="1">
      <alignment horizontal="right" vertical="center" wrapText="1" indent="1"/>
      <protection/>
    </xf>
    <xf numFmtId="49" fontId="15" fillId="0" borderId="14" xfId="62" applyNumberFormat="1" applyFont="1" applyFill="1" applyBorder="1" applyAlignment="1" applyProtection="1">
      <alignment horizontal="right" vertical="center" wrapText="1" indent="1"/>
      <protection/>
    </xf>
    <xf numFmtId="49" fontId="15" fillId="0" borderId="55" xfId="62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62" applyNumberFormat="1" applyFont="1" applyFill="1" applyBorder="1" applyAlignment="1" applyProtection="1">
      <alignment horizontal="right" vertical="center" wrapText="1"/>
      <protection/>
    </xf>
    <xf numFmtId="166" fontId="15" fillId="0" borderId="12" xfId="62" applyNumberFormat="1" applyFont="1" applyFill="1" applyBorder="1" applyAlignment="1" applyProtection="1">
      <alignment horizontal="right" vertical="center" wrapText="1"/>
      <protection/>
    </xf>
    <xf numFmtId="166" fontId="15" fillId="0" borderId="12" xfId="62" applyNumberFormat="1" applyFont="1" applyFill="1" applyBorder="1" applyAlignment="1" applyProtection="1">
      <alignment horizontal="right" vertical="center" wrapText="1"/>
      <protection/>
    </xf>
    <xf numFmtId="166" fontId="19" fillId="0" borderId="12" xfId="0" applyNumberFormat="1" applyFont="1" applyBorder="1" applyAlignment="1" applyProtection="1" quotePrefix="1">
      <alignment horizontal="right" vertical="center" wrapText="1"/>
      <protection/>
    </xf>
    <xf numFmtId="0" fontId="17" fillId="0" borderId="10" xfId="62" applyFont="1" applyFill="1" applyBorder="1" applyAlignment="1" applyProtection="1">
      <alignment horizontal="left" vertical="center"/>
      <protection/>
    </xf>
    <xf numFmtId="0" fontId="17" fillId="0" borderId="66" xfId="62" applyFont="1" applyFill="1" applyBorder="1" applyAlignment="1" applyProtection="1">
      <alignment horizontal="left" vertical="center" wrapText="1"/>
      <protection/>
    </xf>
    <xf numFmtId="166" fontId="15" fillId="0" borderId="18" xfId="62" applyNumberFormat="1" applyFont="1" applyFill="1" applyBorder="1" applyAlignment="1" applyProtection="1">
      <alignment horizontal="right" vertical="center" wrapText="1"/>
      <protection/>
    </xf>
    <xf numFmtId="166" fontId="21" fillId="0" borderId="12" xfId="0" applyNumberFormat="1" applyFont="1" applyBorder="1" applyAlignment="1" applyProtection="1">
      <alignment horizontal="right" vertical="center" wrapText="1"/>
      <protection/>
    </xf>
    <xf numFmtId="166" fontId="22" fillId="0" borderId="19" xfId="62" applyNumberFormat="1" applyFont="1" applyFill="1" applyBorder="1" applyAlignment="1" applyProtection="1">
      <alignment horizontal="right" vertical="center" wrapText="1" indent="1"/>
      <protection/>
    </xf>
    <xf numFmtId="1" fontId="15" fillId="0" borderId="14" xfId="62" applyNumberFormat="1" applyFont="1" applyFill="1" applyBorder="1" applyAlignment="1" applyProtection="1">
      <alignment horizontal="right" vertical="center" wrapText="1" indent="1"/>
      <protection/>
    </xf>
    <xf numFmtId="49" fontId="17" fillId="0" borderId="67" xfId="62" applyNumberFormat="1" applyFont="1" applyFill="1" applyBorder="1" applyAlignment="1" applyProtection="1">
      <alignment horizontal="right" vertical="center" wrapText="1" indent="1"/>
      <protection/>
    </xf>
    <xf numFmtId="49" fontId="17" fillId="0" borderId="68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16" xfId="0" applyFont="1" applyFill="1" applyBorder="1" applyAlignment="1" applyProtection="1">
      <alignment horizontal="right" vertical="center" wrapText="1" inden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7" fillId="0" borderId="26" xfId="62" applyFont="1" applyFill="1" applyBorder="1" applyAlignment="1" applyProtection="1">
      <alignment horizontal="left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/>
      <protection/>
    </xf>
    <xf numFmtId="0" fontId="17" fillId="0" borderId="59" xfId="62" applyFont="1" applyFill="1" applyBorder="1" applyAlignment="1" applyProtection="1">
      <alignment horizontal="left" vertical="center" wrapText="1"/>
      <protection/>
    </xf>
    <xf numFmtId="0" fontId="24" fillId="0" borderId="39" xfId="0" applyFont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49" fontId="15" fillId="0" borderId="14" xfId="62" applyNumberFormat="1" applyFont="1" applyFill="1" applyBorder="1" applyAlignment="1" applyProtection="1">
      <alignment horizontal="right" vertical="center" wrapText="1" indent="2"/>
      <protection/>
    </xf>
    <xf numFmtId="49" fontId="17" fillId="0" borderId="15" xfId="62" applyNumberFormat="1" applyFont="1" applyFill="1" applyBorder="1" applyAlignment="1" applyProtection="1">
      <alignment horizontal="right" vertical="center" wrapText="1" indent="2"/>
      <protection/>
    </xf>
    <xf numFmtId="49" fontId="17" fillId="0" borderId="25" xfId="62" applyNumberFormat="1" applyFont="1" applyFill="1" applyBorder="1" applyAlignment="1" applyProtection="1">
      <alignment horizontal="right" vertical="center" wrapText="1" indent="2"/>
      <protection/>
    </xf>
    <xf numFmtId="49" fontId="17" fillId="0" borderId="55" xfId="62" applyNumberFormat="1" applyFont="1" applyFill="1" applyBorder="1" applyAlignment="1" applyProtection="1">
      <alignment horizontal="right" vertical="center" wrapText="1" indent="2"/>
      <protection/>
    </xf>
    <xf numFmtId="0" fontId="17" fillId="0" borderId="0" xfId="0" applyFont="1" applyFill="1" applyAlignment="1" applyProtection="1">
      <alignment horizontal="right" vertical="center" wrapText="1" indent="2"/>
      <protection/>
    </xf>
    <xf numFmtId="0" fontId="15" fillId="0" borderId="45" xfId="0" applyFont="1" applyFill="1" applyBorder="1" applyAlignment="1" applyProtection="1">
      <alignment horizontal="right" vertical="center" wrapText="1" indent="2"/>
      <protection/>
    </xf>
    <xf numFmtId="166" fontId="15" fillId="0" borderId="16" xfId="0" applyNumberFormat="1" applyFont="1" applyFill="1" applyBorder="1" applyAlignment="1" applyProtection="1">
      <alignment horizontal="right" vertical="center" wrapText="1" indent="2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6" fontId="15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44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6" fontId="15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6" fontId="15" fillId="0" borderId="31" xfId="0" applyNumberFormat="1" applyFont="1" applyFill="1" applyBorder="1" applyAlignment="1" applyProtection="1">
      <alignment horizontal="right" vertical="center" wrapText="1" indent="2"/>
      <protection/>
    </xf>
    <xf numFmtId="166" fontId="15" fillId="0" borderId="31" xfId="0" applyNumberFormat="1" applyFont="1" applyFill="1" applyBorder="1" applyAlignment="1" applyProtection="1">
      <alignment horizontal="righ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66" fontId="15" fillId="0" borderId="16" xfId="0" applyNumberFormat="1" applyFont="1" applyFill="1" applyBorder="1" applyAlignment="1" applyProtection="1">
      <alignment horizontal="right" vertical="center" wrapText="1" indent="2"/>
      <protection/>
    </xf>
    <xf numFmtId="166" fontId="98" fillId="0" borderId="0" xfId="0" applyNumberFormat="1" applyFont="1" applyFill="1" applyAlignment="1" applyProtection="1">
      <alignment horizontal="right" vertical="center" wrapText="1" indent="2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62" applyFont="1" applyFill="1" applyAlignment="1">
      <alignment horizontal="right" vertical="center"/>
      <protection/>
    </xf>
    <xf numFmtId="166" fontId="17" fillId="0" borderId="26" xfId="62" applyNumberFormat="1" applyFont="1" applyFill="1" applyBorder="1" applyAlignment="1" applyProtection="1">
      <alignment horizontal="right" vertical="center" wrapText="1"/>
      <protection locked="0"/>
    </xf>
    <xf numFmtId="166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66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62" applyFont="1" applyFill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66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166" fontId="6" fillId="0" borderId="54" xfId="62" applyNumberFormat="1" applyFont="1" applyFill="1" applyBorder="1" applyAlignment="1" applyProtection="1">
      <alignment horizontal="right" vertical="center" wrapText="1"/>
      <protection/>
    </xf>
    <xf numFmtId="0" fontId="17" fillId="0" borderId="54" xfId="62" applyFont="1" applyFill="1" applyBorder="1" applyAlignment="1" applyProtection="1">
      <alignment horizontal="right" vertical="center" wrapText="1"/>
      <protection locked="0"/>
    </xf>
    <xf numFmtId="166" fontId="17" fillId="0" borderId="54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13" xfId="62" applyFont="1" applyFill="1" applyBorder="1" applyAlignment="1" applyProtection="1">
      <alignment horizontal="left" vertical="center" wrapText="1"/>
      <protection/>
    </xf>
    <xf numFmtId="166" fontId="17" fillId="0" borderId="66" xfId="62" applyNumberFormat="1" applyFont="1" applyFill="1" applyBorder="1" applyAlignment="1" applyProtection="1">
      <alignment horizontal="right" vertical="center" wrapText="1"/>
      <protection locked="0"/>
    </xf>
    <xf numFmtId="166" fontId="21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right" indent="1"/>
      <protection/>
    </xf>
    <xf numFmtId="0" fontId="7" fillId="0" borderId="14" xfId="62" applyFont="1" applyFill="1" applyBorder="1" applyAlignment="1" applyProtection="1">
      <alignment horizontal="right" vertical="center" wrapText="1" indent="1"/>
      <protection/>
    </xf>
    <xf numFmtId="0" fontId="6" fillId="0" borderId="54" xfId="62" applyFont="1" applyFill="1" applyBorder="1" applyAlignment="1" applyProtection="1">
      <alignment horizontal="right" vertical="center" wrapText="1" indent="1"/>
      <protection/>
    </xf>
    <xf numFmtId="166" fontId="101" fillId="0" borderId="0" xfId="62" applyNumberFormat="1" applyFont="1" applyFill="1" applyAlignment="1">
      <alignment horizontal="right" vertical="center" indent="1"/>
      <protection/>
    </xf>
    <xf numFmtId="0" fontId="2" fillId="0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horizontal="right" vertical="center"/>
      <protection locked="0"/>
    </xf>
    <xf numFmtId="0" fontId="17" fillId="0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horizontal="right" indent="1"/>
      <protection locked="0"/>
    </xf>
    <xf numFmtId="0" fontId="7" fillId="0" borderId="50" xfId="62" applyFont="1" applyFill="1" applyBorder="1" applyAlignment="1" applyProtection="1">
      <alignment horizontal="right" vertical="center" wrapText="1" indent="1"/>
      <protection/>
    </xf>
    <xf numFmtId="0" fontId="6" fillId="0" borderId="0" xfId="62" applyFont="1" applyFill="1" applyBorder="1" applyAlignment="1" applyProtection="1">
      <alignment horizontal="right" vertical="center" wrapText="1" indent="1"/>
      <protection/>
    </xf>
    <xf numFmtId="0" fontId="3" fillId="0" borderId="14" xfId="62" applyFont="1" applyFill="1" applyBorder="1" applyAlignment="1" applyProtection="1">
      <alignment horizontal="right" vertical="center" wrapText="1" indent="1"/>
      <protection/>
    </xf>
    <xf numFmtId="0" fontId="17" fillId="0" borderId="0" xfId="62" applyFont="1" applyFill="1" applyAlignment="1" applyProtection="1">
      <alignment horizontal="right" vertical="center" indent="1"/>
      <protection locked="0"/>
    </xf>
    <xf numFmtId="0" fontId="2" fillId="0" borderId="0" xfId="62" applyFont="1" applyFill="1" applyAlignment="1" applyProtection="1">
      <alignment horizontal="right" indent="1"/>
      <protection/>
    </xf>
    <xf numFmtId="0" fontId="16" fillId="0" borderId="30" xfId="0" applyFont="1" applyFill="1" applyBorder="1" applyAlignment="1" applyProtection="1">
      <alignment horizontal="right" vertical="center" indent="1"/>
      <protection locked="0"/>
    </xf>
    <xf numFmtId="0" fontId="7" fillId="0" borderId="16" xfId="62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Fill="1" applyBorder="1" applyAlignment="1" applyProtection="1">
      <alignment horizontal="right" vertical="center" indent="1"/>
      <protection/>
    </xf>
    <xf numFmtId="0" fontId="3" fillId="0" borderId="16" xfId="62" applyFont="1" applyFill="1" applyBorder="1" applyAlignment="1" applyProtection="1">
      <alignment horizontal="right" vertical="center" wrapText="1" indent="1"/>
      <protection/>
    </xf>
    <xf numFmtId="0" fontId="17" fillId="0" borderId="26" xfId="62" applyFont="1" applyFill="1" applyBorder="1" applyAlignment="1" applyProtection="1">
      <alignment horizontal="left" vertical="center" wrapText="1" indent="5"/>
      <protection/>
    </xf>
    <xf numFmtId="0" fontId="17" fillId="0" borderId="10" xfId="62" applyFont="1" applyFill="1" applyBorder="1" applyAlignment="1" applyProtection="1">
      <alignment horizontal="left" vertical="center" wrapText="1" indent="5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0" xfId="62" applyFont="1" applyFill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168" fontId="29" fillId="0" borderId="26" xfId="40" applyNumberFormat="1" applyFont="1" applyFill="1" applyBorder="1" applyAlignment="1" applyProtection="1">
      <alignment vertical="center"/>
      <protection locked="0"/>
    </xf>
    <xf numFmtId="168" fontId="29" fillId="0" borderId="23" xfId="40" applyNumberFormat="1" applyFont="1" applyFill="1" applyBorder="1" applyAlignment="1">
      <alignment vertical="center"/>
    </xf>
    <xf numFmtId="0" fontId="0" fillId="0" borderId="10" xfId="62" applyFont="1" applyFill="1" applyBorder="1" applyAlignment="1" applyProtection="1">
      <alignment horizontal="left" vertical="center"/>
      <protection locked="0"/>
    </xf>
    <xf numFmtId="168" fontId="29" fillId="0" borderId="10" xfId="40" applyNumberFormat="1" applyFont="1" applyFill="1" applyBorder="1" applyAlignment="1" applyProtection="1">
      <alignment vertical="center"/>
      <protection locked="0"/>
    </xf>
    <xf numFmtId="168" fontId="29" fillId="0" borderId="19" xfId="40" applyNumberFormat="1" applyFont="1" applyFill="1" applyBorder="1" applyAlignment="1">
      <alignment vertical="center"/>
    </xf>
    <xf numFmtId="0" fontId="0" fillId="0" borderId="11" xfId="62" applyFont="1" applyFill="1" applyBorder="1" applyAlignment="1" applyProtection="1">
      <alignment horizontal="left" vertical="center"/>
      <protection locked="0"/>
    </xf>
    <xf numFmtId="168" fontId="29" fillId="0" borderId="11" xfId="40" applyNumberFormat="1" applyFont="1" applyFill="1" applyBorder="1" applyAlignment="1" applyProtection="1">
      <alignment vertical="center"/>
      <protection locked="0"/>
    </xf>
    <xf numFmtId="0" fontId="3" fillId="0" borderId="12" xfId="62" applyFont="1" applyFill="1" applyBorder="1" applyAlignment="1">
      <alignment vertical="center"/>
      <protection/>
    </xf>
    <xf numFmtId="168" fontId="30" fillId="0" borderId="12" xfId="62" applyNumberFormat="1" applyFont="1" applyFill="1" applyBorder="1" applyAlignment="1">
      <alignment vertical="center"/>
      <protection/>
    </xf>
    <xf numFmtId="168" fontId="30" fillId="0" borderId="16" xfId="62" applyNumberFormat="1" applyFont="1" applyFill="1" applyBorder="1" applyAlignment="1">
      <alignment vertical="center"/>
      <protection/>
    </xf>
    <xf numFmtId="0" fontId="17" fillId="0" borderId="26" xfId="62" applyFont="1" applyFill="1" applyBorder="1" applyAlignment="1" applyProtection="1">
      <alignment vertical="center"/>
      <protection/>
    </xf>
    <xf numFmtId="168" fontId="17" fillId="0" borderId="69" xfId="4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horizontal="justify" vertical="center" wrapText="1"/>
    </xf>
    <xf numFmtId="168" fontId="17" fillId="0" borderId="41" xfId="4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vertical="center" wrapText="1"/>
    </xf>
    <xf numFmtId="168" fontId="17" fillId="0" borderId="37" xfId="40" applyNumberFormat="1" applyFont="1" applyFill="1" applyBorder="1" applyAlignment="1" applyProtection="1">
      <alignment vertical="center"/>
      <protection locked="0"/>
    </xf>
    <xf numFmtId="0" fontId="25" fillId="0" borderId="66" xfId="0" applyFont="1" applyBorder="1" applyAlignment="1">
      <alignment vertical="center" wrapText="1"/>
    </xf>
    <xf numFmtId="168" fontId="15" fillId="0" borderId="16" xfId="40" applyNumberFormat="1" applyFont="1" applyFill="1" applyBorder="1" applyAlignment="1" applyProtection="1">
      <alignment vertical="center"/>
      <protection/>
    </xf>
    <xf numFmtId="0" fontId="17" fillId="0" borderId="32" xfId="62" applyFont="1" applyFill="1" applyBorder="1" applyAlignment="1" applyProtection="1">
      <alignment horizontal="left" vertical="center"/>
      <protection locked="0"/>
    </xf>
    <xf numFmtId="168" fontId="17" fillId="0" borderId="33" xfId="40" applyNumberFormat="1" applyFont="1" applyFill="1" applyBorder="1" applyAlignment="1" applyProtection="1">
      <alignment vertical="center"/>
      <protection locked="0"/>
    </xf>
    <xf numFmtId="0" fontId="17" fillId="0" borderId="10" xfId="62" applyFont="1" applyFill="1" applyBorder="1" applyAlignment="1" applyProtection="1">
      <alignment horizontal="left" vertical="center"/>
      <protection locked="0"/>
    </xf>
    <xf numFmtId="168" fontId="17" fillId="0" borderId="19" xfId="40" applyNumberFormat="1" applyFont="1" applyFill="1" applyBorder="1" applyAlignment="1" applyProtection="1">
      <alignment vertical="center"/>
      <protection locked="0"/>
    </xf>
    <xf numFmtId="0" fontId="17" fillId="0" borderId="11" xfId="62" applyFont="1" applyFill="1" applyBorder="1" applyAlignment="1" applyProtection="1">
      <alignment horizontal="left" vertical="center"/>
      <protection locked="0"/>
    </xf>
    <xf numFmtId="168" fontId="17" fillId="0" borderId="21" xfId="40" applyNumberFormat="1" applyFont="1" applyFill="1" applyBorder="1" applyAlignment="1" applyProtection="1">
      <alignment vertical="center"/>
      <protection locked="0"/>
    </xf>
    <xf numFmtId="166" fontId="5" fillId="0" borderId="0" xfId="0" applyNumberFormat="1" applyFont="1" applyFill="1" applyAlignment="1" applyProtection="1">
      <alignment horizontal="right" vertical="center" wrapText="1"/>
      <protection locked="0"/>
    </xf>
    <xf numFmtId="166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70" xfId="60" applyNumberFormat="1" applyFont="1" applyBorder="1" applyAlignment="1">
      <alignment horizontal="right" vertical="center"/>
      <protection/>
    </xf>
    <xf numFmtId="166" fontId="14" fillId="0" borderId="70" xfId="60" applyNumberFormat="1" applyFont="1" applyBorder="1" applyAlignment="1" applyProtection="1">
      <alignment horizontal="right" vertical="center" wrapText="1"/>
      <protection locked="0"/>
    </xf>
    <xf numFmtId="166" fontId="14" fillId="0" borderId="71" xfId="60" applyNumberFormat="1" applyFont="1" applyBorder="1" applyAlignment="1" applyProtection="1">
      <alignment horizontal="right" vertical="center" wrapText="1"/>
      <protection locked="0"/>
    </xf>
    <xf numFmtId="166" fontId="39" fillId="0" borderId="48" xfId="60" applyNumberFormat="1" applyFont="1" applyBorder="1" applyAlignment="1">
      <alignment horizontal="right" vertical="center"/>
      <protection/>
    </xf>
    <xf numFmtId="166" fontId="39" fillId="0" borderId="48" xfId="60" applyNumberFormat="1" applyFont="1" applyBorder="1" applyAlignment="1" applyProtection="1">
      <alignment horizontal="right" vertical="center" wrapText="1"/>
      <protection locked="0"/>
    </xf>
    <xf numFmtId="166" fontId="14" fillId="0" borderId="48" xfId="60" applyNumberFormat="1" applyFont="1" applyBorder="1" applyAlignment="1">
      <alignment horizontal="right" vertical="center"/>
      <protection/>
    </xf>
    <xf numFmtId="166" fontId="14" fillId="0" borderId="48" xfId="60" applyNumberFormat="1" applyFont="1" applyBorder="1" applyAlignment="1" applyProtection="1">
      <alignment horizontal="right" vertical="center" wrapText="1"/>
      <protection locked="0"/>
    </xf>
    <xf numFmtId="166" fontId="7" fillId="0" borderId="22" xfId="60" applyNumberFormat="1" applyFont="1" applyBorder="1" applyAlignment="1">
      <alignment horizontal="right" vertical="center"/>
      <protection/>
    </xf>
    <xf numFmtId="166" fontId="7" fillId="0" borderId="22" xfId="60" applyNumberFormat="1" applyFont="1" applyBorder="1" applyAlignment="1">
      <alignment horizontal="right" vertical="center" wrapText="1"/>
      <protection/>
    </xf>
    <xf numFmtId="166" fontId="14" fillId="0" borderId="49" xfId="60" applyNumberFormat="1" applyFont="1" applyBorder="1" applyAlignment="1">
      <alignment horizontal="right" vertical="center"/>
      <protection/>
    </xf>
    <xf numFmtId="166" fontId="14" fillId="0" borderId="49" xfId="60" applyNumberFormat="1" applyFont="1" applyBorder="1" applyAlignment="1" applyProtection="1">
      <alignment horizontal="right" vertical="center" wrapText="1"/>
      <protection locked="0"/>
    </xf>
    <xf numFmtId="166" fontId="14" fillId="0" borderId="72" xfId="6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right" vertical="center" wrapText="1" indent="1"/>
      <protection locked="0"/>
    </xf>
    <xf numFmtId="0" fontId="15" fillId="0" borderId="73" xfId="0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right" vertical="center" indent="1"/>
      <protection locked="0"/>
    </xf>
    <xf numFmtId="0" fontId="17" fillId="0" borderId="10" xfId="62" applyFont="1" applyFill="1" applyBorder="1" applyAlignment="1" applyProtection="1">
      <alignment horizontal="left" vertical="center" indent="5"/>
      <protection/>
    </xf>
    <xf numFmtId="166" fontId="15" fillId="0" borderId="22" xfId="0" applyNumberFormat="1" applyFont="1" applyFill="1" applyBorder="1" applyAlignment="1" applyProtection="1">
      <alignment horizontal="left" vertical="center" wrapText="1"/>
      <protection/>
    </xf>
    <xf numFmtId="166" fontId="17" fillId="0" borderId="48" xfId="0" applyNumberFormat="1" applyFont="1" applyFill="1" applyBorder="1" applyAlignment="1" applyProtection="1">
      <alignment horizontal="left" vertical="center" wrapText="1"/>
      <protection locked="0"/>
    </xf>
    <xf numFmtId="166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 applyAlignment="1" applyProtection="1">
      <alignment horizontal="left" vertical="center" wrapText="1"/>
      <protection/>
    </xf>
    <xf numFmtId="166" fontId="17" fillId="0" borderId="60" xfId="0" applyNumberFormat="1" applyFont="1" applyFill="1" applyBorder="1" applyAlignment="1" applyProtection="1">
      <alignment horizontal="left" vertical="center" wrapText="1"/>
      <protection locked="0"/>
    </xf>
    <xf numFmtId="166" fontId="29" fillId="33" borderId="46" xfId="0" applyNumberFormat="1" applyFont="1" applyFill="1" applyBorder="1" applyAlignment="1" applyProtection="1">
      <alignment horizontal="left" vertical="center" wrapText="1"/>
      <protection/>
    </xf>
    <xf numFmtId="0" fontId="17" fillId="0" borderId="54" xfId="62" applyFont="1" applyFill="1" applyBorder="1" applyAlignment="1" applyProtection="1">
      <alignment horizontal="right" vertical="center" wrapText="1"/>
      <protection/>
    </xf>
    <xf numFmtId="166" fontId="17" fillId="0" borderId="54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 applyProtection="1">
      <alignment horizontal="right" indent="2"/>
      <protection/>
    </xf>
    <xf numFmtId="0" fontId="7" fillId="0" borderId="14" xfId="62" applyFont="1" applyFill="1" applyBorder="1" applyAlignment="1" applyProtection="1">
      <alignment horizontal="right" vertical="center" wrapText="1" indent="2"/>
      <protection/>
    </xf>
    <xf numFmtId="0" fontId="15" fillId="0" borderId="14" xfId="62" applyFont="1" applyFill="1" applyBorder="1" applyAlignment="1" applyProtection="1">
      <alignment horizontal="right" vertical="center" wrapText="1" indent="2"/>
      <protection/>
    </xf>
    <xf numFmtId="49" fontId="17" fillId="0" borderId="20" xfId="62" applyNumberFormat="1" applyFont="1" applyFill="1" applyBorder="1" applyAlignment="1" applyProtection="1">
      <alignment horizontal="right" vertical="center" wrapText="1" indent="2"/>
      <protection/>
    </xf>
    <xf numFmtId="0" fontId="6" fillId="0" borderId="54" xfId="62" applyFont="1" applyFill="1" applyBorder="1" applyAlignment="1" applyProtection="1">
      <alignment horizontal="right" vertical="center" wrapText="1" indent="2"/>
      <protection/>
    </xf>
    <xf numFmtId="0" fontId="15" fillId="0" borderId="50" xfId="62" applyFont="1" applyFill="1" applyBorder="1" applyAlignment="1" applyProtection="1">
      <alignment horizontal="right" vertical="center" wrapText="1" indent="2"/>
      <protection/>
    </xf>
    <xf numFmtId="0" fontId="15" fillId="0" borderId="17" xfId="62" applyFont="1" applyFill="1" applyBorder="1" applyAlignment="1" applyProtection="1">
      <alignment horizontal="right" vertical="center" wrapText="1" indent="2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15" fillId="0" borderId="18" xfId="62" applyFont="1" applyFill="1" applyBorder="1" applyAlignment="1" applyProtection="1">
      <alignment horizontal="left" vertical="center" wrapText="1" indent="1"/>
      <protection/>
    </xf>
    <xf numFmtId="166" fontId="99" fillId="0" borderId="0" xfId="62" applyNumberFormat="1" applyFont="1" applyFill="1" applyAlignment="1" applyProtection="1">
      <alignment horizontal="right" indent="1"/>
      <protection/>
    </xf>
    <xf numFmtId="49" fontId="17" fillId="0" borderId="74" xfId="62" applyNumberFormat="1" applyFont="1" applyFill="1" applyBorder="1" applyAlignment="1" applyProtection="1">
      <alignment horizontal="right" vertical="center" wrapText="1" indent="1"/>
      <protection/>
    </xf>
    <xf numFmtId="166" fontId="99" fillId="0" borderId="0" xfId="0" applyNumberFormat="1" applyFont="1" applyFill="1" applyAlignment="1" applyProtection="1">
      <alignment horizontal="right" vertical="center" wrapText="1" indent="2"/>
      <protection/>
    </xf>
    <xf numFmtId="166" fontId="17" fillId="0" borderId="17" xfId="0" applyNumberFormat="1" applyFont="1" applyBorder="1" applyAlignment="1">
      <alignment horizontal="left" vertical="center" wrapText="1" indent="1"/>
    </xf>
    <xf numFmtId="49" fontId="15" fillId="0" borderId="14" xfId="62" applyNumberFormat="1" applyFont="1" applyFill="1" applyBorder="1" applyAlignment="1" applyProtection="1">
      <alignment horizontal="right" vertical="center" wrapText="1" indent="1"/>
      <protection/>
    </xf>
    <xf numFmtId="166" fontId="15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5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left" vertical="center" wrapText="1" indent="3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5" xfId="0" applyNumberFormat="1" applyFont="1" applyFill="1" applyBorder="1" applyAlignment="1" applyProtection="1">
      <alignment horizontal="left" vertical="center" wrapText="1" indent="3"/>
      <protection/>
    </xf>
    <xf numFmtId="49" fontId="15" fillId="0" borderId="45" xfId="62" applyNumberFormat="1" applyFont="1" applyFill="1" applyBorder="1" applyAlignment="1" applyProtection="1">
      <alignment horizontal="right" vertical="center" wrapText="1" indent="1"/>
      <protection/>
    </xf>
    <xf numFmtId="166" fontId="22" fillId="0" borderId="55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75" xfId="0" applyFont="1" applyBorder="1" applyAlignment="1">
      <alignment horizontal="left" vertical="center" wrapText="1"/>
    </xf>
    <xf numFmtId="0" fontId="17" fillId="0" borderId="75" xfId="0" applyFont="1" applyBorder="1" applyAlignment="1">
      <alignment horizontal="left" vertical="center" wrapText="1"/>
    </xf>
    <xf numFmtId="0" fontId="7" fillId="0" borderId="45" xfId="0" applyFont="1" applyFill="1" applyBorder="1" applyAlignment="1" applyProtection="1">
      <alignment horizontal="right" vertical="center" wrapText="1" indent="1"/>
      <protection/>
    </xf>
    <xf numFmtId="49" fontId="17" fillId="0" borderId="14" xfId="62" applyNumberFormat="1" applyFont="1" applyFill="1" applyBorder="1" applyAlignment="1" applyProtection="1">
      <alignment horizontal="right" vertical="center" wrapText="1" indent="2"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15" fillId="0" borderId="22" xfId="62" applyFont="1" applyFill="1" applyBorder="1" applyAlignment="1" applyProtection="1">
      <alignment horizontal="center" vertical="center" wrapText="1"/>
      <protection/>
    </xf>
    <xf numFmtId="166" fontId="17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62" applyFont="1" applyFill="1" applyBorder="1" applyAlignment="1" applyProtection="1">
      <alignment horizontal="center" vertical="center" wrapText="1"/>
      <protection/>
    </xf>
    <xf numFmtId="0" fontId="15" fillId="0" borderId="16" xfId="62" applyFont="1" applyFill="1" applyBorder="1" applyAlignment="1" applyProtection="1">
      <alignment horizontal="center" vertical="center" wrapText="1"/>
      <protection/>
    </xf>
    <xf numFmtId="0" fontId="15" fillId="0" borderId="16" xfId="62" applyFont="1" applyFill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52" xfId="0" applyFont="1" applyBorder="1" applyAlignment="1" applyProtection="1">
      <alignment horizontal="left" vertical="center" wrapText="1"/>
      <protection/>
    </xf>
    <xf numFmtId="0" fontId="22" fillId="0" borderId="19" xfId="62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34" xfId="0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62" applyFont="1" applyFill="1" applyAlignment="1" applyProtection="1">
      <alignment horizontal="center" vertical="top"/>
      <protection/>
    </xf>
    <xf numFmtId="0" fontId="3" fillId="0" borderId="14" xfId="62" applyFont="1" applyFill="1" applyBorder="1" applyAlignment="1" applyProtection="1">
      <alignment horizontal="center" vertical="top" wrapText="1"/>
      <protection/>
    </xf>
    <xf numFmtId="0" fontId="7" fillId="0" borderId="14" xfId="62" applyFont="1" applyFill="1" applyBorder="1" applyAlignment="1" applyProtection="1">
      <alignment horizontal="center" vertical="center" wrapText="1"/>
      <protection locked="0"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17" fillId="0" borderId="52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vertical="top" wrapText="1"/>
      <protection/>
    </xf>
    <xf numFmtId="0" fontId="7" fillId="0" borderId="50" xfId="63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Border="1" applyAlignment="1">
      <alignment horizontal="right" vertical="center" wrapText="1" indent="1"/>
      <protection/>
    </xf>
    <xf numFmtId="166" fontId="15" fillId="0" borderId="31" xfId="62" applyNumberFormat="1" applyFont="1" applyBorder="1" applyAlignment="1">
      <alignment horizontal="right" vertical="center" wrapText="1" indent="1"/>
      <protection/>
    </xf>
    <xf numFmtId="166" fontId="17" fillId="0" borderId="42" xfId="62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62" applyNumberFormat="1" applyFont="1" applyBorder="1" applyAlignment="1" applyProtection="1">
      <alignment horizontal="right" vertical="center" wrapText="1" indent="1"/>
      <protection locked="0"/>
    </xf>
    <xf numFmtId="0" fontId="20" fillId="0" borderId="10" xfId="0" applyFont="1" applyBorder="1" applyAlignment="1">
      <alignment horizontal="left" vertical="center" wrapText="1" indent="1"/>
    </xf>
    <xf numFmtId="166" fontId="17" fillId="0" borderId="37" xfId="62" applyNumberFormat="1" applyFont="1" applyBorder="1" applyAlignment="1" applyProtection="1">
      <alignment horizontal="right" vertical="center" wrapText="1" indent="1"/>
      <protection locked="0"/>
    </xf>
    <xf numFmtId="166" fontId="15" fillId="0" borderId="12" xfId="62" applyNumberFormat="1" applyFont="1" applyBorder="1" applyAlignment="1">
      <alignment horizontal="right" vertical="center" wrapText="1" indent="1"/>
      <protection/>
    </xf>
    <xf numFmtId="166" fontId="15" fillId="0" borderId="31" xfId="62" applyNumberFormat="1" applyFont="1" applyBorder="1" applyAlignment="1">
      <alignment horizontal="right" vertical="center" wrapText="1" indent="1"/>
      <protection/>
    </xf>
    <xf numFmtId="166" fontId="15" fillId="0" borderId="31" xfId="62" applyNumberFormat="1" applyFont="1" applyBorder="1" applyAlignment="1" applyProtection="1">
      <alignment horizontal="right" vertical="center" wrapText="1" indent="1"/>
      <protection locked="0"/>
    </xf>
    <xf numFmtId="0" fontId="17" fillId="0" borderId="10" xfId="62" applyFont="1" applyBorder="1" applyAlignment="1">
      <alignment horizontal="left" vertical="center" wrapText="1" indent="1"/>
      <protection/>
    </xf>
    <xf numFmtId="166" fontId="19" fillId="0" borderId="12" xfId="0" applyNumberFormat="1" applyFont="1" applyBorder="1" applyAlignment="1" quotePrefix="1">
      <alignment horizontal="right" vertical="center" wrapText="1" indent="1"/>
    </xf>
    <xf numFmtId="166" fontId="19" fillId="0" borderId="31" xfId="0" applyNumberFormat="1" applyFont="1" applyBorder="1" applyAlignment="1" quotePrefix="1">
      <alignment horizontal="right" vertical="center" wrapText="1" indent="1"/>
    </xf>
    <xf numFmtId="166" fontId="15" fillId="0" borderId="16" xfId="62" applyNumberFormat="1" applyFont="1" applyBorder="1" applyAlignment="1">
      <alignment horizontal="right" vertical="center" wrapText="1" indent="1"/>
      <protection/>
    </xf>
    <xf numFmtId="166" fontId="2" fillId="0" borderId="0" xfId="62" applyNumberFormat="1" applyFill="1" applyProtection="1">
      <alignment/>
      <protection/>
    </xf>
    <xf numFmtId="0" fontId="15" fillId="0" borderId="14" xfId="63" applyFont="1" applyFill="1" applyBorder="1" applyAlignment="1" applyProtection="1">
      <alignment horizontal="left" vertical="center" indent="1"/>
      <protection/>
    </xf>
    <xf numFmtId="49" fontId="0" fillId="0" borderId="22" xfId="0" applyNumberFormat="1" applyFill="1" applyBorder="1" applyAlignment="1" applyProtection="1">
      <alignment horizontal="center" vertical="top"/>
      <protection locked="0"/>
    </xf>
    <xf numFmtId="168" fontId="29" fillId="0" borderId="26" xfId="42" applyNumberFormat="1" applyFont="1" applyFill="1" applyBorder="1" applyAlignment="1" applyProtection="1">
      <alignment vertical="center"/>
      <protection locked="0"/>
    </xf>
    <xf numFmtId="0" fontId="0" fillId="0" borderId="26" xfId="62" applyFont="1" applyBorder="1" applyProtection="1">
      <alignment/>
      <protection locked="0"/>
    </xf>
    <xf numFmtId="3" fontId="0" fillId="0" borderId="2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14" borderId="10" xfId="0" applyNumberFormat="1" applyFill="1" applyBorder="1" applyAlignment="1">
      <alignment/>
    </xf>
    <xf numFmtId="3" fontId="0" fillId="14" borderId="11" xfId="0" applyNumberFormat="1" applyFill="1" applyBorder="1" applyAlignment="1">
      <alignment/>
    </xf>
    <xf numFmtId="3" fontId="21" fillId="0" borderId="22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14" fontId="33" fillId="0" borderId="10" xfId="0" applyNumberFormat="1" applyFont="1" applyBorder="1" applyAlignment="1" quotePrefix="1">
      <alignment/>
    </xf>
    <xf numFmtId="0" fontId="0" fillId="14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40" fillId="14" borderId="10" xfId="0" applyFont="1" applyFill="1" applyBorder="1" applyAlignment="1">
      <alignment/>
    </xf>
    <xf numFmtId="49" fontId="40" fillId="14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166" fontId="17" fillId="0" borderId="23" xfId="62" applyNumberFormat="1" applyFont="1" applyBorder="1" applyAlignment="1" applyProtection="1">
      <alignment horizontal="right" vertical="center" wrapText="1" indent="1"/>
      <protection locked="0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right" vertical="center" indent="1"/>
    </xf>
    <xf numFmtId="3" fontId="17" fillId="36" borderId="19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0" xfId="62" applyFont="1" applyBorder="1" applyAlignment="1">
      <alignment horizontal="left" vertical="center" wrapText="1" indent="1"/>
      <protection/>
    </xf>
    <xf numFmtId="3" fontId="15" fillId="36" borderId="19" xfId="0" applyNumberFormat="1" applyFont="1" applyFill="1" applyBorder="1" applyAlignment="1" applyProtection="1">
      <alignment horizontal="right" vertical="center" indent="1"/>
      <protection locked="0"/>
    </xf>
    <xf numFmtId="166" fontId="17" fillId="0" borderId="10" xfId="0" applyNumberFormat="1" applyFont="1" applyBorder="1" applyAlignment="1">
      <alignment horizontal="left" vertical="center" wrapText="1" indent="1"/>
    </xf>
    <xf numFmtId="0" fontId="17" fillId="0" borderId="10" xfId="62" applyFont="1" applyBorder="1" applyAlignment="1">
      <alignment horizontal="left" vertical="center" wrapText="1" indent="1"/>
      <protection/>
    </xf>
    <xf numFmtId="3" fontId="102" fillId="36" borderId="19" xfId="0" applyNumberFormat="1" applyFont="1" applyFill="1" applyBorder="1" applyAlignment="1" applyProtection="1">
      <alignment horizontal="right" vertical="center" indent="1"/>
      <protection locked="0"/>
    </xf>
    <xf numFmtId="0" fontId="20" fillId="0" borderId="10" xfId="62" applyFont="1" applyBorder="1" applyAlignment="1">
      <alignment horizontal="left" vertical="center" wrapText="1" indent="1"/>
      <protection/>
    </xf>
    <xf numFmtId="0" fontId="36" fillId="10" borderId="12" xfId="62" applyFont="1" applyFill="1" applyBorder="1" applyAlignment="1">
      <alignment horizontal="left" indent="1"/>
      <protection/>
    </xf>
    <xf numFmtId="3" fontId="15" fillId="10" borderId="16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0" xfId="62" applyFont="1" applyBorder="1" applyAlignment="1">
      <alignment horizontal="left" indent="1"/>
      <protection/>
    </xf>
    <xf numFmtId="0" fontId="21" fillId="0" borderId="10" xfId="0" applyFont="1" applyBorder="1" applyAlignment="1">
      <alignment horizontal="left" vertical="center" wrapText="1" indent="1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20" fillId="0" borderId="10" xfId="62" applyFont="1" applyBorder="1" applyAlignment="1">
      <alignment horizontal="left" indent="1"/>
      <protection/>
    </xf>
    <xf numFmtId="0" fontId="17" fillId="36" borderId="10" xfId="62" applyFont="1" applyFill="1" applyBorder="1" applyAlignment="1">
      <alignment horizontal="left" vertical="center" wrapText="1" indent="1"/>
      <protection/>
    </xf>
    <xf numFmtId="0" fontId="20" fillId="10" borderId="12" xfId="62" applyFont="1" applyFill="1" applyBorder="1" applyAlignment="1">
      <alignment horizontal="left" vertical="center" wrapText="1" indent="1"/>
      <protection/>
    </xf>
    <xf numFmtId="0" fontId="20" fillId="0" borderId="26" xfId="0" applyFont="1" applyBorder="1" applyAlignment="1">
      <alignment horizontal="left" vertical="center" wrapText="1" indent="1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33" xfId="0" applyNumberFormat="1" applyFont="1" applyBorder="1" applyAlignment="1">
      <alignment horizontal="right" indent="1"/>
    </xf>
    <xf numFmtId="3" fontId="17" fillId="0" borderId="19" xfId="0" applyNumberFormat="1" applyFont="1" applyBorder="1" applyAlignment="1">
      <alignment horizontal="right" indent="1"/>
    </xf>
    <xf numFmtId="3" fontId="15" fillId="0" borderId="16" xfId="0" applyNumberFormat="1" applyFont="1" applyBorder="1" applyAlignment="1">
      <alignment horizontal="right" vertical="center" indent="1"/>
    </xf>
    <xf numFmtId="0" fontId="36" fillId="10" borderId="14" xfId="62" applyFont="1" applyFill="1" applyBorder="1" applyAlignment="1">
      <alignment horizontal="left" vertical="center" wrapText="1" indent="1"/>
      <protection/>
    </xf>
    <xf numFmtId="0" fontId="0" fillId="36" borderId="0" xfId="0" applyFill="1" applyAlignment="1">
      <alignment/>
    </xf>
    <xf numFmtId="3" fontId="9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 indent="1"/>
    </xf>
    <xf numFmtId="166" fontId="3" fillId="7" borderId="29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77" xfId="0" applyNumberFormat="1" applyFont="1" applyFill="1" applyBorder="1" applyAlignment="1" applyProtection="1">
      <alignment horizontal="left" vertical="center" wrapText="1" indent="1"/>
      <protection locked="0"/>
    </xf>
    <xf numFmtId="166" fontId="41" fillId="7" borderId="71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 applyProtection="1">
      <alignment horizontal="center" vertical="center" wrapText="1"/>
      <protection locked="0"/>
    </xf>
    <xf numFmtId="166" fontId="7" fillId="0" borderId="51" xfId="0" applyNumberFormat="1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center" vertical="center" wrapText="1"/>
      <protection locked="0"/>
    </xf>
    <xf numFmtId="0" fontId="15" fillId="10" borderId="51" xfId="62" applyFont="1" applyFill="1" applyBorder="1" applyAlignment="1">
      <alignment horizontal="left" vertical="center" wrapText="1" indent="1"/>
      <protection/>
    </xf>
    <xf numFmtId="0" fontId="17" fillId="36" borderId="51" xfId="62" applyFont="1" applyFill="1" applyBorder="1" applyAlignment="1">
      <alignment horizontal="left" vertical="center" wrapText="1" indent="1"/>
      <protection/>
    </xf>
    <xf numFmtId="0" fontId="17" fillId="0" borderId="51" xfId="62" applyFont="1" applyBorder="1" applyAlignment="1">
      <alignment horizontal="left" vertical="center" wrapText="1" indent="1"/>
      <protection/>
    </xf>
    <xf numFmtId="0" fontId="17" fillId="0" borderId="51" xfId="62" applyFont="1" applyBorder="1" applyAlignment="1">
      <alignment horizontal="left" vertical="center" wrapText="1" indent="1"/>
      <protection/>
    </xf>
    <xf numFmtId="166" fontId="17" fillId="0" borderId="48" xfId="62" applyNumberFormat="1" applyFont="1" applyBorder="1" applyAlignment="1" applyProtection="1">
      <alignment horizontal="right" vertical="center" wrapText="1"/>
      <protection locked="0"/>
    </xf>
    <xf numFmtId="0" fontId="42" fillId="10" borderId="51" xfId="62" applyFont="1" applyFill="1" applyBorder="1" applyAlignment="1">
      <alignment horizontal="left" vertical="center" wrapText="1" indent="1"/>
      <protection/>
    </xf>
    <xf numFmtId="166" fontId="15" fillId="10" borderId="48" xfId="62" applyNumberFormat="1" applyFont="1" applyFill="1" applyBorder="1" applyAlignment="1" applyProtection="1">
      <alignment horizontal="right" vertical="center" wrapText="1"/>
      <protection locked="0"/>
    </xf>
    <xf numFmtId="0" fontId="42" fillId="10" borderId="51" xfId="62" applyFont="1" applyFill="1" applyBorder="1" applyAlignment="1">
      <alignment horizontal="left" vertical="center" wrapText="1" indent="1"/>
      <protection/>
    </xf>
    <xf numFmtId="49" fontId="17" fillId="0" borderId="74" xfId="62" applyNumberFormat="1" applyFont="1" applyBorder="1" applyAlignment="1">
      <alignment horizontal="left" vertical="center" wrapText="1" indent="1"/>
      <protection/>
    </xf>
    <xf numFmtId="166" fontId="14" fillId="36" borderId="72" xfId="0" applyNumberFormat="1" applyFont="1" applyFill="1" applyBorder="1" applyAlignment="1" applyProtection="1">
      <alignment vertical="center" wrapText="1"/>
      <protection locked="0"/>
    </xf>
    <xf numFmtId="0" fontId="15" fillId="37" borderId="17" xfId="62" applyFont="1" applyFill="1" applyBorder="1" applyAlignment="1">
      <alignment horizontal="left" vertical="center" wrapText="1" indent="1"/>
      <protection/>
    </xf>
    <xf numFmtId="0" fontId="15" fillId="37" borderId="78" xfId="62" applyFont="1" applyFill="1" applyBorder="1" applyAlignment="1">
      <alignment horizontal="left" vertical="center" wrapText="1" indent="1"/>
      <protection/>
    </xf>
    <xf numFmtId="166" fontId="7" fillId="37" borderId="62" xfId="0" applyNumberFormat="1" applyFont="1" applyFill="1" applyBorder="1" applyAlignment="1" applyProtection="1">
      <alignment vertical="center" wrapText="1"/>
      <protection locked="0"/>
    </xf>
    <xf numFmtId="3" fontId="17" fillId="0" borderId="52" xfId="0" applyNumberFormat="1" applyFont="1" applyBorder="1" applyAlignment="1" applyProtection="1">
      <alignment horizontal="right" vertical="center" indent="1"/>
      <protection locked="0"/>
    </xf>
    <xf numFmtId="0" fontId="17" fillId="0" borderId="0" xfId="0" applyFont="1" applyAlignment="1">
      <alignment/>
    </xf>
    <xf numFmtId="0" fontId="43" fillId="0" borderId="15" xfId="0" applyFont="1" applyBorder="1" applyAlignment="1">
      <alignment horizontal="center" vertical="top" wrapText="1"/>
    </xf>
    <xf numFmtId="0" fontId="43" fillId="0" borderId="51" xfId="0" applyFont="1" applyBorder="1" applyAlignment="1">
      <alignment horizontal="left" vertical="top" wrapText="1"/>
    </xf>
    <xf numFmtId="0" fontId="44" fillId="38" borderId="51" xfId="0" applyFont="1" applyFill="1" applyBorder="1" applyAlignment="1">
      <alignment horizontal="left" vertical="top" wrapText="1"/>
    </xf>
    <xf numFmtId="0" fontId="44" fillId="3" borderId="10" xfId="0" applyFont="1" applyFill="1" applyBorder="1" applyAlignment="1">
      <alignment horizontal="left" vertical="top" wrapText="1"/>
    </xf>
    <xf numFmtId="0" fontId="43" fillId="0" borderId="79" xfId="0" applyFont="1" applyBorder="1" applyAlignment="1">
      <alignment vertical="top"/>
    </xf>
    <xf numFmtId="0" fontId="103" fillId="0" borderId="0" xfId="0" applyFont="1" applyAlignment="1">
      <alignment/>
    </xf>
    <xf numFmtId="3" fontId="103" fillId="36" borderId="0" xfId="0" applyNumberFormat="1" applyFont="1" applyFill="1" applyAlignment="1" applyProtection="1">
      <alignment horizontal="left" indent="3"/>
      <protection locked="0"/>
    </xf>
    <xf numFmtId="0" fontId="21" fillId="39" borderId="29" xfId="0" applyFont="1" applyFill="1" applyBorder="1" applyAlignment="1">
      <alignment horizontal="center" vertical="center" wrapText="1"/>
    </xf>
    <xf numFmtId="0" fontId="21" fillId="39" borderId="32" xfId="0" applyFont="1" applyFill="1" applyBorder="1" applyAlignment="1">
      <alignment horizontal="center" vertical="center"/>
    </xf>
    <xf numFmtId="3" fontId="21" fillId="8" borderId="33" xfId="0" applyNumberFormat="1" applyFont="1" applyFill="1" applyBorder="1" applyAlignment="1" applyProtection="1">
      <alignment horizontal="center" vertical="center"/>
      <protection locked="0"/>
    </xf>
    <xf numFmtId="0" fontId="20" fillId="36" borderId="15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6" borderId="10" xfId="0" applyFont="1" applyFill="1" applyBorder="1" applyAlignment="1">
      <alignment wrapText="1"/>
    </xf>
    <xf numFmtId="3" fontId="21" fillId="36" borderId="19" xfId="0" applyNumberFormat="1" applyFont="1" applyFill="1" applyBorder="1" applyAlignment="1" applyProtection="1">
      <alignment horizontal="right" wrapText="1"/>
      <protection locked="0"/>
    </xf>
    <xf numFmtId="3" fontId="104" fillId="36" borderId="19" xfId="0" applyNumberFormat="1" applyFont="1" applyFill="1" applyBorder="1" applyAlignment="1" applyProtection="1">
      <alignment horizontal="right" wrapText="1"/>
      <protection locked="0"/>
    </xf>
    <xf numFmtId="0" fontId="20" fillId="36" borderId="10" xfId="61" applyFont="1" applyFill="1" applyBorder="1" applyAlignment="1">
      <alignment horizontal="left" wrapText="1"/>
      <protection/>
    </xf>
    <xf numFmtId="3" fontId="21" fillId="36" borderId="19" xfId="0" applyNumberFormat="1" applyFont="1" applyFill="1" applyBorder="1" applyAlignment="1" applyProtection="1">
      <alignment vertical="center" wrapText="1"/>
      <protection locked="0"/>
    </xf>
    <xf numFmtId="0" fontId="20" fillId="40" borderId="15" xfId="0" applyFont="1" applyFill="1" applyBorder="1" applyAlignment="1">
      <alignment/>
    </xf>
    <xf numFmtId="0" fontId="21" fillId="40" borderId="10" xfId="0" applyFont="1" applyFill="1" applyBorder="1" applyAlignment="1">
      <alignment/>
    </xf>
    <xf numFmtId="0" fontId="21" fillId="40" borderId="10" xfId="0" applyFont="1" applyFill="1" applyBorder="1" applyAlignment="1">
      <alignment horizontal="left" wrapText="1" indent="1"/>
    </xf>
    <xf numFmtId="3" fontId="21" fillId="40" borderId="19" xfId="0" applyNumberFormat="1" applyFont="1" applyFill="1" applyBorder="1" applyAlignment="1" applyProtection="1">
      <alignment horizontal="right" wrapText="1"/>
      <protection locked="0"/>
    </xf>
    <xf numFmtId="3" fontId="21" fillId="36" borderId="19" xfId="0" applyNumberFormat="1" applyFont="1" applyFill="1" applyBorder="1" applyAlignment="1" applyProtection="1">
      <alignment/>
      <protection locked="0"/>
    </xf>
    <xf numFmtId="0" fontId="20" fillId="36" borderId="10" xfId="61" applyFont="1" applyFill="1" applyBorder="1" applyAlignment="1">
      <alignment wrapText="1"/>
      <protection/>
    </xf>
    <xf numFmtId="0" fontId="20" fillId="41" borderId="15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3" fontId="21" fillId="41" borderId="19" xfId="0" applyNumberFormat="1" applyFont="1" applyFill="1" applyBorder="1" applyAlignment="1" applyProtection="1">
      <alignment/>
      <protection locked="0"/>
    </xf>
    <xf numFmtId="0" fontId="20" fillId="42" borderId="74" xfId="0" applyFont="1" applyFill="1" applyBorder="1" applyAlignment="1">
      <alignment/>
    </xf>
    <xf numFmtId="0" fontId="21" fillId="42" borderId="66" xfId="0" applyFont="1" applyFill="1" applyBorder="1" applyAlignment="1">
      <alignment/>
    </xf>
    <xf numFmtId="3" fontId="21" fillId="42" borderId="44" xfId="0" applyNumberFormat="1" applyFont="1" applyFill="1" applyBorder="1" applyAlignment="1" applyProtection="1">
      <alignment/>
      <protection locked="0"/>
    </xf>
    <xf numFmtId="0" fontId="17" fillId="0" borderId="51" xfId="0" applyFont="1" applyBorder="1" applyAlignment="1">
      <alignment horizontal="left" vertical="center" wrapText="1" indent="1"/>
    </xf>
    <xf numFmtId="166" fontId="17" fillId="0" borderId="43" xfId="0" applyNumberFormat="1" applyFont="1" applyBorder="1" applyAlignment="1" applyProtection="1">
      <alignment horizontal="left" vertical="center" wrapText="1" indent="1"/>
      <protection locked="0"/>
    </xf>
    <xf numFmtId="166" fontId="15" fillId="10" borderId="48" xfId="62" applyNumberFormat="1" applyFont="1" applyFill="1" applyBorder="1" applyAlignment="1">
      <alignment horizontal="right" vertical="center" wrapText="1"/>
      <protection/>
    </xf>
    <xf numFmtId="166" fontId="17" fillId="36" borderId="48" xfId="62" applyNumberFormat="1" applyFont="1" applyFill="1" applyBorder="1" applyAlignment="1" applyProtection="1">
      <alignment horizontal="right" vertical="center" wrapText="1"/>
      <protection locked="0"/>
    </xf>
    <xf numFmtId="166" fontId="102" fillId="36" borderId="48" xfId="62" applyNumberFormat="1" applyFont="1" applyFill="1" applyBorder="1" applyAlignment="1" applyProtection="1">
      <alignment horizontal="right" vertical="center" wrapText="1"/>
      <protection locked="0"/>
    </xf>
    <xf numFmtId="49" fontId="17" fillId="36" borderId="15" xfId="62" applyNumberFormat="1" applyFont="1" applyFill="1" applyBorder="1" applyAlignment="1">
      <alignment horizontal="left" vertical="center" wrapText="1" indent="1"/>
      <protection/>
    </xf>
    <xf numFmtId="0" fontId="42" fillId="43" borderId="51" xfId="62" applyFont="1" applyFill="1" applyBorder="1" applyAlignment="1">
      <alignment horizontal="left" vertical="center" wrapText="1" indent="1"/>
      <protection/>
    </xf>
    <xf numFmtId="166" fontId="15" fillId="43" borderId="48" xfId="62" applyNumberFormat="1" applyFont="1" applyFill="1" applyBorder="1" applyAlignment="1" applyProtection="1">
      <alignment horizontal="right" vertical="center" wrapText="1"/>
      <protection locked="0"/>
    </xf>
    <xf numFmtId="0" fontId="42" fillId="43" borderId="51" xfId="0" applyFont="1" applyFill="1" applyBorder="1" applyAlignment="1">
      <alignment horizontal="left" vertical="center" wrapText="1" indent="1"/>
    </xf>
    <xf numFmtId="166" fontId="42" fillId="43" borderId="48" xfId="62" applyNumberFormat="1" applyFont="1" applyFill="1" applyBorder="1" applyAlignment="1" applyProtection="1">
      <alignment horizontal="right" vertical="center" wrapText="1"/>
      <protection locked="0"/>
    </xf>
    <xf numFmtId="3" fontId="105" fillId="36" borderId="19" xfId="0" applyNumberFormat="1" applyFont="1" applyFill="1" applyBorder="1" applyAlignment="1" applyProtection="1">
      <alignment horizontal="right" vertical="center" indent="1"/>
      <protection locked="0"/>
    </xf>
    <xf numFmtId="0" fontId="43" fillId="36" borderId="51" xfId="0" applyFont="1" applyFill="1" applyBorder="1" applyAlignment="1">
      <alignment horizontal="left" vertical="top" wrapText="1"/>
    </xf>
    <xf numFmtId="0" fontId="17" fillId="36" borderId="0" xfId="0" applyFont="1" applyFill="1" applyAlignment="1">
      <alignment/>
    </xf>
    <xf numFmtId="3" fontId="103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166" fontId="14" fillId="36" borderId="10" xfId="0" applyNumberFormat="1" applyFont="1" applyFill="1" applyBorder="1" applyAlignment="1" applyProtection="1">
      <alignment vertical="center" wrapText="1"/>
      <protection locked="0"/>
    </xf>
    <xf numFmtId="166" fontId="17" fillId="36" borderId="33" xfId="62" applyNumberFormat="1" applyFont="1" applyFill="1" applyBorder="1" applyAlignment="1" applyProtection="1">
      <alignment horizontal="right" vertical="center" wrapText="1" indent="1"/>
      <protection locked="0"/>
    </xf>
    <xf numFmtId="0" fontId="1" fillId="36" borderId="0" xfId="0" applyFont="1" applyFill="1" applyAlignment="1">
      <alignment vertical="center" wrapText="1"/>
    </xf>
    <xf numFmtId="166" fontId="17" fillId="36" borderId="19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 applyProtection="1">
      <alignment horizontal="right"/>
      <protection/>
    </xf>
    <xf numFmtId="3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1" fillId="36" borderId="10" xfId="62" applyFont="1" applyFill="1" applyBorder="1" applyAlignment="1">
      <alignment horizontal="left" indent="1"/>
      <protection/>
    </xf>
    <xf numFmtId="166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22" xfId="62" applyNumberFormat="1" applyFont="1" applyBorder="1" applyAlignment="1">
      <alignment horizontal="right" vertical="center" wrapText="1"/>
      <protection/>
    </xf>
    <xf numFmtId="166" fontId="17" fillId="0" borderId="60" xfId="62" applyNumberFormat="1" applyFont="1" applyBorder="1" applyAlignment="1" applyProtection="1">
      <alignment horizontal="right" vertical="center" wrapText="1"/>
      <protection locked="0"/>
    </xf>
    <xf numFmtId="166" fontId="17" fillId="0" borderId="49" xfId="62" applyNumberFormat="1" applyFont="1" applyBorder="1" applyAlignment="1" applyProtection="1">
      <alignment horizontal="right" vertical="center" wrapText="1"/>
      <protection locked="0"/>
    </xf>
    <xf numFmtId="166" fontId="22" fillId="0" borderId="48" xfId="62" applyNumberFormat="1" applyFont="1" applyBorder="1" applyAlignment="1">
      <alignment horizontal="right" vertical="center" wrapText="1"/>
      <protection/>
    </xf>
    <xf numFmtId="166" fontId="17" fillId="0" borderId="60" xfId="62" applyNumberFormat="1" applyFont="1" applyBorder="1" applyAlignment="1" applyProtection="1">
      <alignment horizontal="right" vertical="center" wrapText="1"/>
      <protection locked="0"/>
    </xf>
    <xf numFmtId="166" fontId="17" fillId="0" borderId="48" xfId="62" applyNumberFormat="1" applyFont="1" applyBorder="1" applyAlignment="1" applyProtection="1">
      <alignment horizontal="right" vertical="center" wrapText="1"/>
      <protection locked="0"/>
    </xf>
    <xf numFmtId="166" fontId="17" fillId="0" borderId="49" xfId="62" applyNumberFormat="1" applyFont="1" applyBorder="1" applyAlignment="1" applyProtection="1">
      <alignment horizontal="right" vertical="center" wrapText="1"/>
      <protection locked="0"/>
    </xf>
    <xf numFmtId="166" fontId="15" fillId="0" borderId="22" xfId="62" applyNumberFormat="1" applyFont="1" applyBorder="1" applyAlignment="1">
      <alignment horizontal="right" vertical="center" wrapText="1"/>
      <protection/>
    </xf>
    <xf numFmtId="166" fontId="15" fillId="0" borderId="22" xfId="62" applyNumberFormat="1" applyFont="1" applyBorder="1" applyAlignment="1" applyProtection="1">
      <alignment horizontal="right" vertical="center" wrapText="1"/>
      <protection locked="0"/>
    </xf>
    <xf numFmtId="166" fontId="15" fillId="0" borderId="70" xfId="62" applyNumberFormat="1" applyFont="1" applyBorder="1" applyAlignment="1">
      <alignment horizontal="right" vertical="center" wrapText="1"/>
      <protection/>
    </xf>
    <xf numFmtId="166" fontId="17" fillId="0" borderId="71" xfId="62" applyNumberFormat="1" applyFont="1" applyBorder="1" applyAlignment="1" applyProtection="1">
      <alignment horizontal="right" vertical="center" wrapText="1"/>
      <protection locked="0"/>
    </xf>
    <xf numFmtId="166" fontId="17" fillId="0" borderId="72" xfId="62" applyNumberFormat="1" applyFont="1" applyBorder="1" applyAlignment="1" applyProtection="1">
      <alignment horizontal="right" vertical="center" wrapText="1"/>
      <protection locked="0"/>
    </xf>
    <xf numFmtId="166" fontId="15" fillId="0" borderId="62" xfId="62" applyNumberFormat="1" applyFont="1" applyBorder="1" applyAlignment="1">
      <alignment horizontal="right" vertical="center" wrapText="1"/>
      <protection/>
    </xf>
    <xf numFmtId="166" fontId="21" fillId="0" borderId="22" xfId="0" applyNumberFormat="1" applyFont="1" applyBorder="1" applyAlignment="1">
      <alignment horizontal="right" vertical="center" wrapText="1"/>
    </xf>
    <xf numFmtId="166" fontId="21" fillId="0" borderId="22" xfId="0" applyNumberFormat="1" applyFont="1" applyBorder="1" applyAlignment="1" applyProtection="1">
      <alignment horizontal="right" vertical="center" wrapText="1"/>
      <protection locked="0"/>
    </xf>
    <xf numFmtId="166" fontId="19" fillId="0" borderId="22" xfId="0" applyNumberFormat="1" applyFont="1" applyBorder="1" applyAlignment="1" quotePrefix="1">
      <alignment horizontal="right" vertical="center" wrapText="1"/>
    </xf>
    <xf numFmtId="0" fontId="20" fillId="0" borderId="59" xfId="62" applyFont="1" applyBorder="1" applyAlignment="1">
      <alignment horizontal="left" vertical="center" wrapText="1" indent="1"/>
      <protection/>
    </xf>
    <xf numFmtId="182" fontId="17" fillId="36" borderId="10" xfId="0" applyNumberFormat="1" applyFont="1" applyFill="1" applyBorder="1" applyAlignment="1">
      <alignment/>
    </xf>
    <xf numFmtId="182" fontId="17" fillId="0" borderId="10" xfId="0" applyNumberFormat="1" applyFont="1" applyBorder="1" applyAlignment="1">
      <alignment/>
    </xf>
    <xf numFmtId="182" fontId="44" fillId="38" borderId="10" xfId="0" applyNumberFormat="1" applyFont="1" applyFill="1" applyBorder="1" applyAlignment="1">
      <alignment horizontal="right" vertical="top" wrapText="1"/>
    </xf>
    <xf numFmtId="182" fontId="43" fillId="38" borderId="10" xfId="0" applyNumberFormat="1" applyFont="1" applyFill="1" applyBorder="1" applyAlignment="1">
      <alignment horizontal="right" vertical="top" wrapText="1"/>
    </xf>
    <xf numFmtId="182" fontId="44" fillId="3" borderId="10" xfId="0" applyNumberFormat="1" applyFont="1" applyFill="1" applyBorder="1" applyAlignment="1">
      <alignment horizontal="right" vertical="top" wrapText="1"/>
    </xf>
    <xf numFmtId="0" fontId="15" fillId="44" borderId="10" xfId="0" applyFont="1" applyFill="1" applyBorder="1" applyAlignment="1">
      <alignment horizontal="center" vertical="center" wrapText="1"/>
    </xf>
    <xf numFmtId="166" fontId="15" fillId="0" borderId="12" xfId="62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62" applyNumberFormat="1" applyFont="1" applyBorder="1" applyAlignment="1" applyProtection="1">
      <alignment horizontal="right" vertical="center" wrapText="1" indent="1"/>
      <protection locked="0"/>
    </xf>
    <xf numFmtId="166" fontId="17" fillId="0" borderId="10" xfId="62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62" applyNumberFormat="1" applyFont="1" applyBorder="1" applyAlignment="1" applyProtection="1">
      <alignment horizontal="right" vertical="center" wrapText="1" indent="1"/>
      <protection locked="0"/>
    </xf>
    <xf numFmtId="166" fontId="15" fillId="0" borderId="12" xfId="62" applyNumberFormat="1" applyFont="1" applyBorder="1" applyAlignment="1" applyProtection="1">
      <alignment horizontal="right" vertical="center" wrapText="1" indent="1"/>
      <protection locked="0"/>
    </xf>
    <xf numFmtId="166" fontId="15" fillId="0" borderId="31" xfId="62" applyNumberFormat="1" applyFont="1" applyBorder="1" applyAlignment="1" applyProtection="1">
      <alignment horizontal="right" vertical="center" wrapText="1" indent="1"/>
      <protection locked="0"/>
    </xf>
    <xf numFmtId="166" fontId="15" fillId="0" borderId="53" xfId="62" applyNumberFormat="1" applyFont="1" applyBorder="1" applyAlignment="1">
      <alignment horizontal="right" vertical="center" wrapText="1" indent="1"/>
      <protection/>
    </xf>
    <xf numFmtId="166" fontId="15" fillId="0" borderId="18" xfId="62" applyNumberFormat="1" applyFont="1" applyBorder="1" applyAlignment="1">
      <alignment horizontal="right" vertical="center" wrapText="1" indent="1"/>
      <protection/>
    </xf>
    <xf numFmtId="166" fontId="15" fillId="0" borderId="16" xfId="62" applyNumberFormat="1" applyFont="1" applyBorder="1" applyAlignment="1" applyProtection="1">
      <alignment horizontal="right" vertical="center" wrapText="1" indent="1"/>
      <protection locked="0"/>
    </xf>
    <xf numFmtId="0" fontId="20" fillId="0" borderId="26" xfId="62" applyFont="1" applyBorder="1" applyAlignment="1">
      <alignment horizontal="left" vertical="center" wrapText="1" indent="1"/>
      <protection/>
    </xf>
    <xf numFmtId="166" fontId="17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 quotePrefix="1">
      <alignment horizontal="left" vertical="center" wrapText="1" indent="1"/>
      <protection locked="0"/>
    </xf>
    <xf numFmtId="166" fontId="17" fillId="36" borderId="19" xfId="62" applyNumberFormat="1" applyFont="1" applyFill="1" applyBorder="1" applyAlignment="1" applyProtection="1">
      <alignment horizontal="right" vertical="center" wrapText="1" indent="1"/>
      <protection locked="0"/>
    </xf>
    <xf numFmtId="166" fontId="17" fillId="36" borderId="21" xfId="62" applyNumberFormat="1" applyFont="1" applyFill="1" applyBorder="1" applyAlignment="1" applyProtection="1">
      <alignment horizontal="right" vertical="center" wrapText="1" indent="1"/>
      <protection locked="0"/>
    </xf>
    <xf numFmtId="166" fontId="15" fillId="36" borderId="16" xfId="62" applyNumberFormat="1" applyFont="1" applyFill="1" applyBorder="1" applyAlignment="1" applyProtection="1">
      <alignment horizontal="right" vertical="center" wrapText="1" indent="1"/>
      <protection/>
    </xf>
    <xf numFmtId="166" fontId="17" fillId="36" borderId="11" xfId="0" applyNumberFormat="1" applyFont="1" applyFill="1" applyBorder="1" applyAlignment="1" applyProtection="1">
      <alignment vertical="center"/>
      <protection locked="0"/>
    </xf>
    <xf numFmtId="0" fontId="21" fillId="36" borderId="10" xfId="0" applyFont="1" applyFill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181" fontId="15" fillId="44" borderId="10" xfId="0" applyNumberFormat="1" applyFont="1" applyFill="1" applyBorder="1" applyAlignment="1">
      <alignment horizontal="right"/>
    </xf>
    <xf numFmtId="0" fontId="44" fillId="44" borderId="10" xfId="0" applyFont="1" applyFill="1" applyBorder="1" applyAlignment="1">
      <alignment horizontal="center" vertical="top" wrapText="1"/>
    </xf>
    <xf numFmtId="166" fontId="0" fillId="0" borderId="0" xfId="0" applyNumberFormat="1" applyFill="1" applyAlignment="1" applyProtection="1">
      <alignment horizontal="center" vertical="center"/>
      <protection/>
    </xf>
    <xf numFmtId="0" fontId="10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35" borderId="0" xfId="0" applyFont="1" applyFill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9" fillId="0" borderId="0" xfId="62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2" applyNumberFormat="1" applyFont="1" applyFill="1" applyBorder="1" applyAlignment="1" applyProtection="1">
      <alignment horizontal="center" vertical="center"/>
      <protection locked="0"/>
    </xf>
    <xf numFmtId="166" fontId="16" fillId="0" borderId="30" xfId="62" applyNumberFormat="1" applyFont="1" applyFill="1" applyBorder="1" applyAlignment="1" applyProtection="1">
      <alignment horizontal="left" vertical="center"/>
      <protection locked="0"/>
    </xf>
    <xf numFmtId="166" fontId="16" fillId="0" borderId="30" xfId="62" applyNumberFormat="1" applyFont="1" applyFill="1" applyBorder="1" applyAlignment="1" applyProtection="1">
      <alignment horizontal="left" vertical="center"/>
      <protection/>
    </xf>
    <xf numFmtId="0" fontId="15" fillId="0" borderId="0" xfId="62" applyFont="1" applyFill="1" applyAlignment="1" applyProtection="1">
      <alignment horizontal="center" vertical="center"/>
      <protection/>
    </xf>
    <xf numFmtId="166" fontId="6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62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2" xfId="0" applyNumberFormat="1" applyFont="1" applyFill="1" applyBorder="1" applyAlignment="1" applyProtection="1">
      <alignment horizontal="center" vertical="center" wrapText="1"/>
      <protection/>
    </xf>
    <xf numFmtId="166" fontId="107" fillId="0" borderId="54" xfId="0" applyNumberFormat="1" applyFont="1" applyFill="1" applyBorder="1" applyAlignment="1" applyProtection="1">
      <alignment horizontal="left" vertical="top" wrapText="1"/>
      <protection/>
    </xf>
    <xf numFmtId="166" fontId="8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166" fontId="0" fillId="0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9" fillId="0" borderId="0" xfId="62" applyFont="1" applyFill="1" applyAlignment="1">
      <alignment horizontal="right"/>
      <protection/>
    </xf>
    <xf numFmtId="166" fontId="4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166" fontId="6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62" applyFont="1" applyFill="1" applyBorder="1" applyAlignment="1" applyProtection="1">
      <alignment horizontal="left" vertical="center"/>
      <protection/>
    </xf>
    <xf numFmtId="0" fontId="7" fillId="0" borderId="12" xfId="62" applyFont="1" applyFill="1" applyBorder="1" applyAlignment="1" applyProtection="1">
      <alignment horizontal="left" vertical="center"/>
      <protection/>
    </xf>
    <xf numFmtId="0" fontId="17" fillId="0" borderId="54" xfId="62" applyFont="1" applyFill="1" applyBorder="1" applyAlignment="1">
      <alignment horizontal="justify" vertical="center" wrapText="1"/>
      <protection/>
    </xf>
    <xf numFmtId="0" fontId="0" fillId="0" borderId="54" xfId="62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175" fontId="36" fillId="0" borderId="54" xfId="60" applyNumberFormat="1" applyFont="1" applyBorder="1" applyAlignment="1" applyProtection="1">
      <alignment horizontal="left" vertical="center" wrapText="1"/>
      <protection locked="0"/>
    </xf>
    <xf numFmtId="166" fontId="4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3" fillId="0" borderId="73" xfId="60" applyNumberFormat="1" applyFont="1" applyBorder="1" applyAlignment="1">
      <alignment horizontal="center" vertical="center"/>
      <protection/>
    </xf>
    <xf numFmtId="166" fontId="3" fillId="0" borderId="68" xfId="60" applyNumberFormat="1" applyFont="1" applyBorder="1" applyAlignment="1">
      <alignment horizontal="center" vertical="center"/>
      <protection/>
    </xf>
    <xf numFmtId="166" fontId="3" fillId="0" borderId="61" xfId="60" applyNumberFormat="1" applyFont="1" applyBorder="1" applyAlignment="1">
      <alignment horizontal="center" vertical="center"/>
      <protection/>
    </xf>
    <xf numFmtId="166" fontId="3" fillId="0" borderId="73" xfId="60" applyNumberFormat="1" applyFont="1" applyBorder="1" applyAlignment="1">
      <alignment horizontal="center" vertical="center" wrapText="1"/>
      <protection/>
    </xf>
    <xf numFmtId="166" fontId="3" fillId="0" borderId="54" xfId="60" applyNumberFormat="1" applyFont="1" applyBorder="1" applyAlignment="1">
      <alignment horizontal="center" vertical="center" wrapText="1"/>
      <protection/>
    </xf>
    <xf numFmtId="0" fontId="0" fillId="0" borderId="58" xfId="60" applyBorder="1" applyAlignment="1">
      <alignment horizontal="center" vertical="center" wrapText="1"/>
      <protection/>
    </xf>
    <xf numFmtId="166" fontId="3" fillId="0" borderId="70" xfId="60" applyNumberFormat="1" applyFont="1" applyBorder="1" applyAlignment="1">
      <alignment horizontal="center" vertical="center" wrapText="1"/>
      <protection/>
    </xf>
    <xf numFmtId="166" fontId="3" fillId="0" borderId="47" xfId="60" applyNumberFormat="1" applyFont="1" applyBorder="1" applyAlignment="1">
      <alignment horizontal="center" vertical="center"/>
      <protection/>
    </xf>
    <xf numFmtId="0" fontId="75" fillId="0" borderId="62" xfId="0" applyFont="1" applyBorder="1" applyAlignment="1">
      <alignment horizontal="center" vertical="center"/>
    </xf>
    <xf numFmtId="166" fontId="3" fillId="0" borderId="45" xfId="60" applyNumberFormat="1" applyFont="1" applyBorder="1" applyAlignment="1">
      <alignment horizontal="center" vertical="center" wrapText="1"/>
      <protection/>
    </xf>
    <xf numFmtId="0" fontId="0" fillId="0" borderId="38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0" fontId="75" fillId="0" borderId="62" xfId="0" applyFont="1" applyBorder="1" applyAlignment="1">
      <alignment horizontal="center" vertical="center" wrapText="1"/>
    </xf>
    <xf numFmtId="175" fontId="6" fillId="0" borderId="0" xfId="60" applyNumberFormat="1" applyFont="1" applyAlignment="1" applyProtection="1">
      <alignment horizontal="center" vertical="center" wrapText="1"/>
      <protection locked="0"/>
    </xf>
    <xf numFmtId="166" fontId="3" fillId="0" borderId="45" xfId="60" applyNumberFormat="1" applyFont="1" applyBorder="1" applyAlignment="1">
      <alignment horizontal="center" vertical="center" wrapText="1"/>
      <protection/>
    </xf>
    <xf numFmtId="166" fontId="3" fillId="0" borderId="38" xfId="60" applyNumberFormat="1" applyFont="1" applyBorder="1" applyAlignment="1">
      <alignment horizontal="center" vertical="center" wrapText="1"/>
      <protection/>
    </xf>
    <xf numFmtId="166" fontId="0" fillId="0" borderId="63" xfId="60" applyNumberFormat="1" applyFont="1" applyBorder="1" applyAlignment="1" applyProtection="1">
      <alignment horizontal="left" vertical="center" wrapText="1"/>
      <protection locked="0"/>
    </xf>
    <xf numFmtId="166" fontId="0" fillId="0" borderId="80" xfId="60" applyNumberFormat="1" applyBorder="1" applyAlignment="1" applyProtection="1">
      <alignment horizontal="left" vertical="center" wrapText="1"/>
      <protection locked="0"/>
    </xf>
    <xf numFmtId="166" fontId="0" fillId="0" borderId="81" xfId="60" applyNumberFormat="1" applyBorder="1" applyAlignment="1" applyProtection="1">
      <alignment horizontal="left" vertical="center" wrapText="1"/>
      <protection locked="0"/>
    </xf>
    <xf numFmtId="166" fontId="0" fillId="0" borderId="82" xfId="60" applyNumberFormat="1" applyBorder="1" applyAlignment="1" applyProtection="1">
      <alignment horizontal="left" vertical="center" wrapText="1"/>
      <protection locked="0"/>
    </xf>
    <xf numFmtId="166" fontId="3" fillId="0" borderId="45" xfId="60" applyNumberFormat="1" applyFont="1" applyBorder="1" applyAlignment="1">
      <alignment horizontal="left" vertical="center" wrapText="1"/>
      <protection/>
    </xf>
    <xf numFmtId="166" fontId="3" fillId="0" borderId="38" xfId="60" applyNumberFormat="1" applyFont="1" applyBorder="1" applyAlignment="1">
      <alignment horizontal="left" vertical="center" wrapText="1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 locked="0"/>
    </xf>
    <xf numFmtId="166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/>
    </xf>
    <xf numFmtId="0" fontId="3" fillId="0" borderId="45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" fontId="15" fillId="0" borderId="38" xfId="62" applyNumberFormat="1" applyFont="1" applyFill="1" applyBorder="1" applyAlignment="1" applyProtection="1">
      <alignment horizontal="right" vertical="center" wrapText="1"/>
      <protection/>
    </xf>
    <xf numFmtId="0" fontId="0" fillId="0" borderId="38" xfId="0" applyBorder="1" applyAlignment="1">
      <alignment vertical="center" wrapText="1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4" fillId="0" borderId="8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 applyProtection="1">
      <alignment horizontal="center" wrapText="1"/>
      <protection locked="0"/>
    </xf>
    <xf numFmtId="0" fontId="15" fillId="0" borderId="61" xfId="0" applyFont="1" applyBorder="1" applyAlignment="1">
      <alignment horizontal="left" vertical="center" indent="2"/>
    </xf>
    <xf numFmtId="0" fontId="15" fillId="0" borderId="39" xfId="0" applyFont="1" applyBorder="1" applyAlignment="1">
      <alignment horizontal="left" vertical="center" indent="2"/>
    </xf>
    <xf numFmtId="0" fontId="4" fillId="0" borderId="0" xfId="62" applyFont="1" applyFill="1" applyAlignment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166" fontId="0" fillId="0" borderId="0" xfId="0" applyNumberForma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66" fontId="7" fillId="0" borderId="45" xfId="0" applyNumberFormat="1" applyFont="1" applyFill="1" applyBorder="1" applyAlignment="1" applyProtection="1">
      <alignment horizontal="left" vertical="center" wrapText="1"/>
      <protection/>
    </xf>
    <xf numFmtId="166" fontId="7" fillId="0" borderId="31" xfId="0" applyNumberFormat="1" applyFont="1" applyFill="1" applyBorder="1" applyAlignment="1" applyProtection="1">
      <alignment horizontal="left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0" xfId="0" applyNumberFormat="1" applyFont="1" applyFill="1" applyBorder="1" applyAlignment="1" applyProtection="1">
      <alignment horizontal="center" vertical="center"/>
      <protection/>
    </xf>
    <xf numFmtId="166" fontId="7" fillId="0" borderId="69" xfId="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right"/>
      <protection/>
    </xf>
    <xf numFmtId="0" fontId="0" fillId="0" borderId="0" xfId="0" applyFill="1" applyAlignment="1">
      <alignment horizontal="right" vertical="center" wrapText="1"/>
    </xf>
    <xf numFmtId="0" fontId="16" fillId="0" borderId="46" xfId="63" applyFont="1" applyFill="1" applyBorder="1" applyAlignment="1" applyProtection="1">
      <alignment horizontal="left" vertical="center" indent="1"/>
      <protection/>
    </xf>
    <xf numFmtId="0" fontId="16" fillId="0" borderId="38" xfId="63" applyFont="1" applyFill="1" applyBorder="1" applyAlignment="1" applyProtection="1">
      <alignment horizontal="left" vertical="center" indent="1"/>
      <protection/>
    </xf>
    <xf numFmtId="0" fontId="16" fillId="0" borderId="31" xfId="63" applyFont="1" applyFill="1" applyBorder="1" applyAlignment="1" applyProtection="1">
      <alignment horizontal="left" vertical="center" indent="1"/>
      <protection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0" xfId="63" applyFont="1" applyFill="1" applyAlignment="1" applyProtection="1">
      <alignment horizontal="center"/>
      <protection/>
    </xf>
    <xf numFmtId="0" fontId="2" fillId="0" borderId="0" xfId="63" applyFill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62" applyFont="1" applyFill="1" applyAlignment="1" applyProtection="1">
      <alignment horizontal="right"/>
      <protection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62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4" fillId="44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 3" xfId="61"/>
    <cellStyle name="Normál_KVRENMUNKA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</xdr:row>
      <xdr:rowOff>95250</xdr:rowOff>
    </xdr:from>
    <xdr:to>
      <xdr:col>29</xdr:col>
      <xdr:colOff>161925</xdr:colOff>
      <xdr:row>23</xdr:row>
      <xdr:rowOff>133350</xdr:rowOff>
    </xdr:to>
    <xdr:grpSp>
      <xdr:nvGrpSpPr>
        <xdr:cNvPr id="1" name="Csoportba foglalás 1"/>
        <xdr:cNvGrpSpPr>
          <a:grpSpLocks/>
        </xdr:cNvGrpSpPr>
      </xdr:nvGrpSpPr>
      <xdr:grpSpPr>
        <a:xfrm>
          <a:off x="10267950" y="1209675"/>
          <a:ext cx="6324600" cy="3076575"/>
          <a:chOff x="11845637" y="497159"/>
          <a:chExt cx="4895664" cy="2892424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11845637" y="497159"/>
            <a:ext cx="4895664" cy="2892424"/>
          </a:xfrm>
          <a:prstGeom prst="wedgeRectCallout">
            <a:avLst>
              <a:gd name="adj1" fmla="val -59736"/>
              <a:gd name="adj2" fmla="val 9986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Ezt a műveletet a rendszer minden blokknál (Költségvetési rendelet, költségvetési rendelet módosítása, előirányzatok nyilvántartása, időközi tájékoztató, zárszámadási rendelet) elvégzi.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13374308" y="834850"/>
            <a:ext cx="1357323" cy="4815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12007194" y="998271"/>
            <a:ext cx="816352" cy="241517"/>
          </a:xfrm>
          <a:prstGeom prst="leftArrow">
            <a:avLst>
              <a:gd name="adj" fmla="val -35185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24</xdr:row>
      <xdr:rowOff>0</xdr:rowOff>
    </xdr:from>
    <xdr:to>
      <xdr:col>29</xdr:col>
      <xdr:colOff>161925</xdr:colOff>
      <xdr:row>30</xdr:row>
      <xdr:rowOff>114300</xdr:rowOff>
    </xdr:to>
    <xdr:sp>
      <xdr:nvSpPr>
        <xdr:cNvPr id="5" name="Téglalap 5"/>
        <xdr:cNvSpPr>
          <a:spLocks/>
        </xdr:cNvSpPr>
      </xdr:nvSpPr>
      <xdr:spPr>
        <a:xfrm>
          <a:off x="10258425" y="4333875"/>
          <a:ext cx="6334125" cy="1200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392">
        <v>2023</v>
      </c>
    </row>
    <row r="2" spans="1:3" ht="18.75" customHeight="1">
      <c r="A2" s="818" t="s">
        <v>330</v>
      </c>
      <c r="B2" s="818"/>
      <c r="C2" s="818"/>
    </row>
    <row r="3" spans="1:3" ht="15">
      <c r="A3" s="344"/>
      <c r="B3" s="345"/>
      <c r="C3" s="344"/>
    </row>
    <row r="4" spans="1:3" ht="14.25">
      <c r="A4" s="346" t="s">
        <v>357</v>
      </c>
      <c r="B4" s="347" t="s">
        <v>356</v>
      </c>
      <c r="C4" s="346" t="s">
        <v>331</v>
      </c>
    </row>
    <row r="5" spans="1:3" ht="12.75">
      <c r="A5" s="348"/>
      <c r="B5" s="348"/>
      <c r="C5" s="348"/>
    </row>
    <row r="6" spans="1:3" ht="18.75">
      <c r="A6" s="819" t="s">
        <v>333</v>
      </c>
      <c r="B6" s="819"/>
      <c r="C6" s="819"/>
    </row>
    <row r="7" spans="1:3" ht="12.75">
      <c r="A7" s="348" t="s">
        <v>358</v>
      </c>
      <c r="B7" s="348" t="s">
        <v>359</v>
      </c>
      <c r="C7" s="383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348" t="s">
        <v>360</v>
      </c>
      <c r="B8" s="348" t="s">
        <v>422</v>
      </c>
      <c r="C8" s="383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348" t="s">
        <v>439</v>
      </c>
      <c r="B9" s="348" t="s">
        <v>361</v>
      </c>
      <c r="C9" s="383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348" t="s">
        <v>362</v>
      </c>
      <c r="B10" s="348" t="s">
        <v>364</v>
      </c>
      <c r="C10" s="383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348" t="s">
        <v>363</v>
      </c>
      <c r="B11" s="348" t="s">
        <v>365</v>
      </c>
      <c r="C11" s="383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348" t="s">
        <v>366</v>
      </c>
      <c r="B12" s="348" t="s">
        <v>367</v>
      </c>
      <c r="C12" s="383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348" t="s">
        <v>368</v>
      </c>
      <c r="B13" s="348" t="s">
        <v>369</v>
      </c>
      <c r="C13" s="383" t="str">
        <f ca="1">HYPERLINK(SUBSTITUTE(CELL("address",'KV_2.1.sz.mell.'!A2),"'",""),SUBSTITUTE(MID(CELL("address",'KV_2.1.sz.mell.'!A2),SEARCH("]",CELL("address",'KV_2.1.sz.mell.'!A2),1)+1,LEN(CELL("address",'KV_2.1.sz.mell.'!A2))-SEARCH("]",CELL("address",'KV_2.1.sz.mell.'!A2),1)),"'",""))</f>
        <v>KV_2.1.sz.mell.!$A$2</v>
      </c>
    </row>
    <row r="14" spans="1:6" ht="12.75">
      <c r="A14" s="348" t="s">
        <v>370</v>
      </c>
      <c r="B14" s="348" t="s">
        <v>371</v>
      </c>
      <c r="C14" s="383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  <c r="F14" s="383"/>
    </row>
    <row r="15" spans="1:3" ht="12.75">
      <c r="A15" s="348" t="s">
        <v>372</v>
      </c>
      <c r="B15" s="348" t="s">
        <v>373</v>
      </c>
      <c r="C15" s="383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348" t="s">
        <v>374</v>
      </c>
      <c r="B16" s="348" t="s">
        <v>375</v>
      </c>
      <c r="C16" s="383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348" t="s">
        <v>376</v>
      </c>
      <c r="B17" s="348" t="s">
        <v>377</v>
      </c>
      <c r="C17" s="383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348" t="s">
        <v>379</v>
      </c>
      <c r="B18" s="348" t="s">
        <v>378</v>
      </c>
      <c r="C18" s="383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348" t="s">
        <v>380</v>
      </c>
      <c r="B19" s="348" t="s">
        <v>381</v>
      </c>
      <c r="C19" s="383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348" t="s">
        <v>382</v>
      </c>
      <c r="B20" s="348" t="s">
        <v>383</v>
      </c>
      <c r="C20" s="383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348" t="s">
        <v>384</v>
      </c>
      <c r="B21" s="348" t="s">
        <v>385</v>
      </c>
      <c r="C21" s="383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353" t="s">
        <v>386</v>
      </c>
      <c r="B22" s="348" t="s">
        <v>387</v>
      </c>
      <c r="C22" s="383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354" t="s">
        <v>388</v>
      </c>
      <c r="B23" s="348" t="s">
        <v>389</v>
      </c>
      <c r="C23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348" t="s">
        <v>390</v>
      </c>
      <c r="B24" s="348" t="s">
        <v>391</v>
      </c>
      <c r="C24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348" t="s">
        <v>392</v>
      </c>
      <c r="B25" s="348" t="s">
        <v>393</v>
      </c>
      <c r="C25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48" t="s">
        <v>394</v>
      </c>
      <c r="B26" s="348" t="s">
        <v>395</v>
      </c>
      <c r="C26" s="383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348" t="s">
        <v>396</v>
      </c>
      <c r="B27" s="348" t="str">
        <f>CONCATENATE(ALAPADATOK!B13)</f>
        <v>Keresztély Gyula Város Könyvtár</v>
      </c>
      <c r="C27" s="383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348" t="s">
        <v>397</v>
      </c>
      <c r="B28" s="348" t="str">
        <f>CONCATENATE(ALAPADATOK!B15)</f>
        <v>2 kvi név</v>
      </c>
      <c r="C28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48" t="s">
        <v>404</v>
      </c>
      <c r="B29" s="348" t="str">
        <f>CONCATENATE(ALAPADATOK!B17)</f>
        <v>3 kvi név</v>
      </c>
      <c r="C29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48" t="s">
        <v>405</v>
      </c>
      <c r="B30" s="348" t="str">
        <f>CONCATENATE(ALAPADATOK!B19)</f>
        <v>4 kvi név</v>
      </c>
      <c r="C30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48" t="s">
        <v>406</v>
      </c>
      <c r="B31" s="348" t="str">
        <f>CONCATENATE(ALAPADATOK!B21)</f>
        <v>5 kvi név</v>
      </c>
      <c r="C31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48" t="s">
        <v>407</v>
      </c>
      <c r="B32" s="348" t="str">
        <f>CONCATENATE(ALAPADATOK!B23)</f>
        <v>6 kvi név</v>
      </c>
      <c r="C32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48" t="s">
        <v>408</v>
      </c>
      <c r="B33" s="348" t="str">
        <f>CONCATENATE(ALAPADATOK!B25)</f>
        <v>7 kvi név</v>
      </c>
      <c r="C33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48" t="s">
        <v>409</v>
      </c>
      <c r="B34" s="348" t="str">
        <f>CONCATENATE(ALAPADATOK!B27)</f>
        <v>8 kvi név</v>
      </c>
      <c r="C34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348" t="s">
        <v>410</v>
      </c>
      <c r="B35" s="348" t="str">
        <f>CONCATENATE(ALAPADATOK!B29)</f>
        <v>9 kvi név</v>
      </c>
      <c r="C35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348" t="s">
        <v>411</v>
      </c>
      <c r="B36" s="348" t="str">
        <f>CONCATENATE(ALAPADATOK!B31)</f>
        <v>10 kvi név</v>
      </c>
      <c r="C36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348" t="s">
        <v>412</v>
      </c>
      <c r="B37" s="348" t="s">
        <v>418</v>
      </c>
      <c r="C37" s="383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348" t="s">
        <v>596</v>
      </c>
      <c r="B38" s="348" t="s">
        <v>599</v>
      </c>
      <c r="C38" s="383" t="s">
        <v>594</v>
      </c>
    </row>
    <row r="39" spans="1:3" ht="12.75">
      <c r="A39" s="348" t="s">
        <v>597</v>
      </c>
      <c r="B39" s="348" t="s">
        <v>598</v>
      </c>
      <c r="C39" s="383" t="s">
        <v>595</v>
      </c>
    </row>
    <row r="40" spans="1:3" ht="12.75">
      <c r="A40" s="348" t="s">
        <v>413</v>
      </c>
      <c r="B40" s="348" t="s">
        <v>600</v>
      </c>
      <c r="C40" s="383" t="str">
        <f ca="1">HYPERLINK(SUBSTITUTE(CELL("address",'KV_13.sz.mell'!A1),"'",""),SUBSTITUTE(MID(CELL("address",'KV_13.sz.mell'!A1),SEARCH("]",CELL("address",'KV_13.sz.mell'!A1),1)+1,LEN(CELL("address",'KV_13.sz.mell'!A1))-SEARCH("]",CELL("address",'KV_13.sz.mell'!A1),1)),"'",""))</f>
        <v>KV_13.sz.mell!$A$1</v>
      </c>
    </row>
    <row r="41" spans="1:3" ht="25.5">
      <c r="A41" s="348" t="s">
        <v>414</v>
      </c>
      <c r="B41" s="384" t="s">
        <v>3</v>
      </c>
      <c r="C41" s="383" t="str">
        <f ca="1">HYPERLINK(SUBSTITUTE(CELL("address",'KV_14.sz.mell'!A2),"'",""),SUBSTITUTE(MID(CELL("address",'KV_14.sz.mell'!A2),SEARCH("]",CELL("address",'KV_14.sz.mell'!A2),1)+1,LEN(CELL("address",'KV_14.sz.mell'!A2))-SEARCH("]",CELL("address",'KV_14.sz.mell'!A2),1)),"'",""))</f>
        <v>KV_14.sz.mell!$A$2</v>
      </c>
    </row>
    <row r="42" spans="1:3" ht="12.75">
      <c r="A42" s="348" t="s">
        <v>415</v>
      </c>
      <c r="B42" s="348" t="s">
        <v>419</v>
      </c>
      <c r="C42" s="383" t="str">
        <f ca="1">HYPERLINK(SUBSTITUTE(CELL("address",'KV_15.sz.mell'!A1),"'",""),SUBSTITUTE(MID(CELL("address",'KV_15.sz.mell'!A1),SEARCH("]",CELL("address",'KV_15.sz.mell'!A1),1)+1,LEN(CELL("address",'KV_15.sz.mell'!A1))-SEARCH("]",CELL("address",'KV_15.sz.mell'!A1),1)),"'",""))</f>
        <v>KV_15.sz.mell!$A$1</v>
      </c>
    </row>
    <row r="43" spans="1:3" ht="12.75">
      <c r="A43" s="348" t="s">
        <v>416</v>
      </c>
      <c r="B43" s="348" t="s">
        <v>438</v>
      </c>
      <c r="C43" s="383" t="str">
        <f ca="1">HYPERLINK(SUBSTITUTE(CELL("address",'KV_16.sz.mell'!A1),"'",""),SUBSTITUTE(MID(CELL("address",'KV_16.sz.mell'!A1),SEARCH("]",CELL("address",'KV_16.sz.mell'!A1),1)+1,LEN(CELL("address",'KV_16.sz.mell'!A1))-SEARCH("]",CELL("address",'KV_16.sz.mell'!A1),1)),"'",""))</f>
        <v>KV_16.sz.mell!$A$1</v>
      </c>
    </row>
    <row r="44" spans="1:3" ht="12.75">
      <c r="A44" s="348" t="s">
        <v>417</v>
      </c>
      <c r="B44" s="348" t="s">
        <v>601</v>
      </c>
      <c r="C44" s="383" t="str">
        <f ca="1">HYPERLINK(SUBSTITUTE(CELL("address",'KV_17.sz.mell'!A2),"'",""),SUBSTITUTE(MID(CELL("address",'KV_17.sz.mell'!A2),SEARCH("]",CELL("address",'KV_17.sz.mell'!A3),1)+1,LEN(CELL("address",'KV_17.sz.mell'!A3))-SEARCH("]",CELL("address",'KV_17.sz.mell'!A3),1)),"'",""))</f>
        <v>KV_17.sz.mell!$A$2</v>
      </c>
    </row>
    <row r="45" spans="1:3" ht="12.75">
      <c r="A45" s="348" t="s">
        <v>372</v>
      </c>
      <c r="B45" s="348" t="e">
        <f>#REF!</f>
        <v>#REF!</v>
      </c>
      <c r="C45" s="383" t="s">
        <v>616</v>
      </c>
    </row>
  </sheetData>
  <sheetProtection sheet="1"/>
  <mergeCells count="2">
    <mergeCell ref="A2:C2"/>
    <mergeCell ref="A6:C6"/>
  </mergeCells>
  <hyperlinks>
    <hyperlink ref="C38" location="KV_11.sz.mell!A1" display="KV_11.sz.mell!A1"/>
    <hyperlink ref="C39" location="KV_12.sz.mell!A1" display="KV_12.sz.mell!A1"/>
    <hyperlink ref="C45" location="ELLENŐRZÉS_KV!A1" display="ELLENŐRZÉS_KV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B1">
      <selection activeCell="E32" sqref="E32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625" style="0" customWidth="1"/>
    <col min="4" max="4" width="15.875" style="0" customWidth="1"/>
    <col min="5" max="5" width="17.625" style="0" customWidth="1"/>
  </cols>
  <sheetData>
    <row r="1" spans="1:5" ht="18.75">
      <c r="A1" s="86" t="s">
        <v>111</v>
      </c>
      <c r="E1" s="89" t="s">
        <v>114</v>
      </c>
    </row>
    <row r="3" spans="1:5" ht="12.75">
      <c r="A3" s="94"/>
      <c r="B3" s="95"/>
      <c r="C3" s="94"/>
      <c r="D3" s="97"/>
      <c r="E3" s="95"/>
    </row>
    <row r="4" spans="1:5" ht="15.75">
      <c r="A4" s="56" t="str">
        <f>+KV_ÖSSZEFÜGGÉSEK!A5</f>
        <v>2023. évi előirányzat BEVÉTELEK</v>
      </c>
      <c r="B4" s="96"/>
      <c r="C4" s="100"/>
      <c r="D4" s="97"/>
      <c r="E4" s="95"/>
    </row>
    <row r="5" spans="1:5" ht="12.75">
      <c r="A5" s="94"/>
      <c r="B5" s="95"/>
      <c r="C5" s="94"/>
      <c r="D5" s="97"/>
      <c r="E5" s="95"/>
    </row>
    <row r="6" spans="1:5" ht="12.75">
      <c r="A6" s="94" t="str">
        <f>CONCATENATE(KV_ÖSSZEFÜGGÉSEK!A7)</f>
        <v>KV_1.1.sz.mell. Bevételek táblázat B oszlop 59 sora =</v>
      </c>
      <c r="B6" s="95">
        <f>+'KV_1.1.sz.mell.'!C68</f>
        <v>1321706825</v>
      </c>
      <c r="C6" s="94" t="str">
        <f>CONCATENATE(KV_ÖSSZEFÜGGÉSEK!B7)</f>
        <v>KV_2.1.sz.mell. táblázat B oszlop 13 sor + KV_2.2.sz.mell. táblázat B oszlop 12 sor </v>
      </c>
      <c r="D6" s="95">
        <f>+'KV_2.1.sz.mell.'!C19+'KV_2.2.sz.mell.'!C17</f>
        <v>1321706825</v>
      </c>
      <c r="E6" s="95">
        <f aca="true" t="shared" si="0" ref="E6:E15">+B6-D6</f>
        <v>0</v>
      </c>
    </row>
    <row r="7" spans="1:5" ht="12.75">
      <c r="A7" s="94" t="str">
        <f>CONCATENATE(KV_ÖSSZEFÜGGÉSEK!A8)</f>
        <v>KV_1.1.sz.mell. Bevételek táblázat B oszlop 83 sora =</v>
      </c>
      <c r="B7" s="95">
        <f>+'KV_1.1.sz.mell.'!C92</f>
        <v>233226419</v>
      </c>
      <c r="C7" s="94" t="str">
        <f>CONCATENATE(KV_ÖSSZEFÜGGÉSEK!B8)</f>
        <v>KV_2.1.sz.mell. táblázat B oszlop 24 sor + KV_2.2.sz.mell. táblázat B oszlop 25 sor </v>
      </c>
      <c r="D7" s="95">
        <f>+'KV_2.1.sz.mell.'!C30+'KV_2.2.sz.mell.'!C30</f>
        <v>233226419</v>
      </c>
      <c r="E7" s="95">
        <f t="shared" si="0"/>
        <v>0</v>
      </c>
    </row>
    <row r="8" spans="1:5" ht="12.75">
      <c r="A8" s="94" t="str">
        <f>CONCATENATE(KV_ÖSSZEFÜGGÉSEK!A9)</f>
        <v>KV_1.1.sz.mell. Bevételek táblázat B oszlop 84 sora =</v>
      </c>
      <c r="B8" s="95">
        <f>+'KV_1.1.sz.mell.'!C93</f>
        <v>1554933244</v>
      </c>
      <c r="C8" s="94" t="str">
        <f>CONCATENATE(KV_ÖSSZEFÜGGÉSEK!B9)</f>
        <v>KV_2.1.sz.mell. táblázat B oszlop 25 sor + KV_2.2.sz.mell. táblázat B oszlop 26 sor </v>
      </c>
      <c r="D8" s="95">
        <f>+'KV_2.1.sz.mell.'!C31+'KV_2.2.sz.mell.'!C31</f>
        <v>1554933244</v>
      </c>
      <c r="E8" s="95">
        <f t="shared" si="0"/>
        <v>0</v>
      </c>
    </row>
    <row r="9" spans="1:5" ht="12.75">
      <c r="A9" s="94"/>
      <c r="B9" s="95"/>
      <c r="C9" s="94"/>
      <c r="D9" s="95"/>
      <c r="E9" s="95"/>
    </row>
    <row r="10" spans="1:5" ht="12.75">
      <c r="A10" s="94"/>
      <c r="B10" s="95"/>
      <c r="C10" s="94"/>
      <c r="D10" s="95"/>
      <c r="E10" s="95"/>
    </row>
    <row r="11" spans="1:5" ht="15.75">
      <c r="A11" s="56" t="str">
        <f>+KV_ÖSSZEFÜGGÉSEK!A12</f>
        <v>2023. évi előirányzat KIADÁSOK</v>
      </c>
      <c r="B11" s="96"/>
      <c r="C11" s="100"/>
      <c r="D11" s="95"/>
      <c r="E11" s="95"/>
    </row>
    <row r="12" spans="1:5" ht="12.75">
      <c r="A12" s="94"/>
      <c r="B12" s="95"/>
      <c r="C12" s="94"/>
      <c r="D12" s="95"/>
      <c r="E12" s="95"/>
    </row>
    <row r="13" spans="1:5" ht="12.75">
      <c r="A13" s="94" t="str">
        <f>CONCATENATE(KV_ÖSSZEFÜGGÉSEK!A14)</f>
        <v>KV_1.1.sz.mell. Kiadások táblázat B oszlop 36 sora =</v>
      </c>
      <c r="B13" s="95">
        <f>+'KV_1.1.sz.mell.'!C134</f>
        <v>1526876180</v>
      </c>
      <c r="C13" s="94" t="str">
        <f>CONCATENATE(KV_ÖSSZEFÜGGÉSEK!B14)</f>
        <v>KV_2.1.sz.mell. táblázat D oszlop 13 sor + KV_2.2.sz.mell. táblázat D oszlop 12 sor </v>
      </c>
      <c r="D13" s="95">
        <f>+'KV_2.1.sz.mell.'!E19+'KV_2.2.sz.mell.'!E17</f>
        <v>1526876180</v>
      </c>
      <c r="E13" s="95">
        <f t="shared" si="0"/>
        <v>0</v>
      </c>
    </row>
    <row r="14" spans="1:5" ht="12.75">
      <c r="A14" s="94" t="str">
        <f>CONCATENATE(KV_ÖSSZEFÜGGÉSEK!A15)</f>
        <v>KV_1.1.sz.mell. Kiadások táblázat B oszlop 61 sora =</v>
      </c>
      <c r="B14" s="95">
        <f>+'KV_1.1.sz.mell.'!C159</f>
        <v>28057064</v>
      </c>
      <c r="C14" s="94" t="str">
        <f>CONCATENATE(KV_ÖSSZEFÜGGÉSEK!B15)</f>
        <v>KV_2.1.sz.mell. táblázat D oszlop 24 sor + KV_2.2.sz.mell. táblázat D oszlop 25 sor </v>
      </c>
      <c r="D14" s="95">
        <f>+'KV_2.1.sz.mell.'!E30+'KV_2.2.sz.mell.'!E30</f>
        <v>28057064</v>
      </c>
      <c r="E14" s="95">
        <f t="shared" si="0"/>
        <v>0</v>
      </c>
    </row>
    <row r="15" spans="1:5" ht="12.75">
      <c r="A15" s="94" t="str">
        <f>CONCATENATE(KV_ÖSSZEFÜGGÉSEK!A16)</f>
        <v>KV_1.1.sz.mell. Kiadások táblázat B oszlop 62 sora =</v>
      </c>
      <c r="B15" s="95">
        <f>+'KV_1.1.sz.mell.'!C160</f>
        <v>1554933244</v>
      </c>
      <c r="C15" s="94" t="str">
        <f>CONCATENATE(KV_ÖSSZEFÜGGÉSEK!B16)</f>
        <v>KV_2.1.sz.mell. táblázat D oszlop 25 sor + KV_2.2.sz.mell. táblázat D oszlop 26 sor </v>
      </c>
      <c r="D15" s="95">
        <f>+'KV_2.1.sz.mell.'!E31+'KV_2.2.sz.mell.'!E31</f>
        <v>1554933244</v>
      </c>
      <c r="E15" s="95">
        <f t="shared" si="0"/>
        <v>0</v>
      </c>
    </row>
    <row r="16" spans="1:5" ht="12.75">
      <c r="A16" s="87"/>
      <c r="B16" s="87"/>
      <c r="C16" s="94"/>
      <c r="D16" s="97"/>
      <c r="E16" s="88"/>
    </row>
    <row r="17" spans="1:5" ht="12.75">
      <c r="A17" s="87"/>
      <c r="B17" s="87"/>
      <c r="C17" s="87"/>
      <c r="D17" s="87"/>
      <c r="E17" s="87"/>
    </row>
    <row r="18" spans="1:5" ht="12.75">
      <c r="A18" s="87"/>
      <c r="B18" s="87"/>
      <c r="C18" s="87"/>
      <c r="D18" s="87"/>
      <c r="E18" s="87"/>
    </row>
    <row r="19" spans="1:5" ht="12.75">
      <c r="A19" s="87"/>
      <c r="B19" s="87"/>
      <c r="C19" s="87"/>
      <c r="D19" s="87"/>
      <c r="E19" s="87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G14"/>
  <sheetViews>
    <sheetView zoomScale="120" zoomScaleNormal="120" workbookViewId="0" topLeftCell="A1">
      <selection activeCell="E20" sqref="E20"/>
    </sheetView>
  </sheetViews>
  <sheetFormatPr defaultColWidth="9.00390625" defaultRowHeight="12.75"/>
  <cols>
    <col min="1" max="1" width="5.625" style="103" customWidth="1"/>
    <col min="2" max="2" width="35.625" style="103" customWidth="1"/>
    <col min="3" max="6" width="14.00390625" style="103" customWidth="1"/>
    <col min="7" max="16384" width="9.375" style="103" customWidth="1"/>
  </cols>
  <sheetData>
    <row r="2" spans="2:6" ht="15">
      <c r="B2" s="845" t="str">
        <f>CONCATENATE("3. melléklet ",ALAPADATOK!A7," ",ALAPADATOK!B7," ",ALAPADATOK!C7," ",ALAPADATOK!D7," ",ALAPADATOK!E7," ",ALAPADATOK!F7," ",ALAPADATOK!G7," ",ALAPADATOK!H7)</f>
        <v>3. melléklet a … / 2023. ( … ) önkormányzati rendelethez</v>
      </c>
      <c r="C2" s="845"/>
      <c r="D2" s="845"/>
      <c r="E2" s="845"/>
      <c r="F2" s="845"/>
    </row>
    <row r="4" spans="1:6" ht="33" customHeight="1">
      <c r="A4" s="846" t="str">
        <f>CONCATENATE(ALAPADATOK!A3," adósságot keletkeztető ügyletekből és kezességvállalásokból fennálló kötelezettségei")</f>
        <v>Bátaszék Város Önkormányzata adósságot keletkeztető ügyletekből és kezességvállalásokból fennálló kötelezettségei</v>
      </c>
      <c r="B4" s="846"/>
      <c r="C4" s="846"/>
      <c r="D4" s="846"/>
      <c r="E4" s="846"/>
      <c r="F4" s="846"/>
    </row>
    <row r="5" spans="1:7" ht="15.75" customHeight="1" thickBot="1">
      <c r="A5" s="104"/>
      <c r="B5" s="104"/>
      <c r="C5" s="847"/>
      <c r="D5" s="847"/>
      <c r="E5" s="854" t="str">
        <f>'KV_2.2.sz.mell.'!E2</f>
        <v>Forintban!</v>
      </c>
      <c r="F5" s="854"/>
      <c r="G5" s="110"/>
    </row>
    <row r="6" spans="1:6" ht="63" customHeight="1">
      <c r="A6" s="850" t="s">
        <v>14</v>
      </c>
      <c r="B6" s="852" t="s">
        <v>141</v>
      </c>
      <c r="C6" s="852" t="s">
        <v>183</v>
      </c>
      <c r="D6" s="852"/>
      <c r="E6" s="852"/>
      <c r="F6" s="848" t="s">
        <v>303</v>
      </c>
    </row>
    <row r="7" spans="1:6" ht="15.75" thickBot="1">
      <c r="A7" s="851"/>
      <c r="B7" s="853"/>
      <c r="C7" s="295">
        <f>+LEFT(KV_ÖSSZEFÜGGÉSEK!A5,4)+1</f>
        <v>2024</v>
      </c>
      <c r="D7" s="295">
        <f>+C7+1</f>
        <v>2025</v>
      </c>
      <c r="E7" s="295">
        <f>+D7+1</f>
        <v>2026</v>
      </c>
      <c r="F7" s="849"/>
    </row>
    <row r="8" spans="1:6" ht="15.75" thickBot="1">
      <c r="A8" s="107"/>
      <c r="B8" s="108" t="s">
        <v>294</v>
      </c>
      <c r="C8" s="108" t="s">
        <v>295</v>
      </c>
      <c r="D8" s="108" t="s">
        <v>296</v>
      </c>
      <c r="E8" s="108" t="s">
        <v>298</v>
      </c>
      <c r="F8" s="109" t="s">
        <v>297</v>
      </c>
    </row>
    <row r="9" spans="1:6" ht="15">
      <c r="A9" s="106" t="s">
        <v>16</v>
      </c>
      <c r="B9" s="655" t="s">
        <v>619</v>
      </c>
      <c r="C9" s="654">
        <v>214363</v>
      </c>
      <c r="D9" s="531"/>
      <c r="E9" s="531"/>
      <c r="F9" s="532">
        <v>214363</v>
      </c>
    </row>
    <row r="10" spans="1:6" ht="15">
      <c r="A10" s="105" t="s">
        <v>17</v>
      </c>
      <c r="B10" s="533"/>
      <c r="C10" s="534"/>
      <c r="D10" s="534"/>
      <c r="E10" s="534"/>
      <c r="F10" s="535">
        <f>SUM(C10:E10)</f>
        <v>0</v>
      </c>
    </row>
    <row r="11" spans="1:6" ht="15">
      <c r="A11" s="105" t="s">
        <v>18</v>
      </c>
      <c r="B11" s="533"/>
      <c r="C11" s="534"/>
      <c r="D11" s="534"/>
      <c r="E11" s="534"/>
      <c r="F11" s="535">
        <f>SUM(C11:E11)</f>
        <v>0</v>
      </c>
    </row>
    <row r="12" spans="1:6" ht="15">
      <c r="A12" s="105" t="s">
        <v>19</v>
      </c>
      <c r="B12" s="533"/>
      <c r="C12" s="534"/>
      <c r="D12" s="534"/>
      <c r="E12" s="534"/>
      <c r="F12" s="535">
        <f>SUM(C12:E12)</f>
        <v>0</v>
      </c>
    </row>
    <row r="13" spans="1:6" ht="15.75" thickBot="1">
      <c r="A13" s="111" t="s">
        <v>20</v>
      </c>
      <c r="B13" s="536"/>
      <c r="C13" s="537"/>
      <c r="D13" s="537"/>
      <c r="E13" s="537"/>
      <c r="F13" s="535">
        <f>SUM(C13:E13)</f>
        <v>0</v>
      </c>
    </row>
    <row r="14" spans="1:6" s="285" customFormat="1" ht="15" thickBot="1">
      <c r="A14" s="284" t="s">
        <v>21</v>
      </c>
      <c r="B14" s="538" t="s">
        <v>142</v>
      </c>
      <c r="C14" s="539">
        <f>SUM(C9:C13)</f>
        <v>214363</v>
      </c>
      <c r="D14" s="539">
        <f>SUM(D9:D13)</f>
        <v>0</v>
      </c>
      <c r="E14" s="539">
        <f>SUM(E9:E13)</f>
        <v>0</v>
      </c>
      <c r="F14" s="540">
        <f>SUM(F9:F13)</f>
        <v>214363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="120" zoomScaleNormal="120" workbookViewId="0" topLeftCell="A1">
      <selection activeCell="O24" sqref="O24"/>
    </sheetView>
  </sheetViews>
  <sheetFormatPr defaultColWidth="9.00390625" defaultRowHeight="12.75"/>
  <cols>
    <col min="1" max="1" width="5.625" style="103" customWidth="1"/>
    <col min="2" max="2" width="68.625" style="103" customWidth="1"/>
    <col min="3" max="3" width="19.50390625" style="103" customWidth="1"/>
    <col min="4" max="16384" width="9.375" style="103" customWidth="1"/>
  </cols>
  <sheetData>
    <row r="2" spans="2:3" ht="15">
      <c r="B2" s="845" t="str">
        <f>CONCATENATE("4. melléklet ",ALAPADATOK!A7," ",ALAPADATOK!B7," ",ALAPADATOK!C7," ",ALAPADATOK!D7," ",ALAPADATOK!E7," ",ALAPADATOK!F7," ",ALAPADATOK!G7," ",ALAPADATOK!H7)</f>
        <v>4. melléklet a … / 2023. ( … ) önkormányzati rendelethez</v>
      </c>
      <c r="C2" s="845"/>
    </row>
    <row r="4" spans="1:3" ht="48.75" customHeight="1">
      <c r="A4" s="855" t="str">
        <f>CONCATENATE(ALAPADATOK!A3," saját bevételeinek részletezése az adósságot keletkeztető ügyletből származó tárgyévi fizetési kötelezettség megállapításához")</f>
        <v>Bátaszék Város Önkormányzata saját bevételeinek részletezése az adósságot keletkeztető ügyletből származó tárgyévi fizetési kötelezettség megállapításához</v>
      </c>
      <c r="B4" s="855"/>
      <c r="C4" s="855"/>
    </row>
    <row r="5" spans="1:4" ht="15.75" customHeight="1" thickBot="1">
      <c r="A5" s="104"/>
      <c r="B5" s="104"/>
      <c r="C5" s="530" t="str">
        <f>'KV_2.2.sz.mell.'!E2</f>
        <v>Forintban!</v>
      </c>
      <c r="D5" s="110"/>
    </row>
    <row r="6" spans="1:3" ht="26.25" customHeight="1" thickBot="1">
      <c r="A6" s="122" t="s">
        <v>14</v>
      </c>
      <c r="B6" s="123" t="s">
        <v>140</v>
      </c>
      <c r="C6" s="124" t="str">
        <f>+'KV_1.1.sz.mell.'!C8</f>
        <v>2023. évi előirányzat</v>
      </c>
    </row>
    <row r="7" spans="1:3" ht="15.75" thickBot="1">
      <c r="A7" s="125"/>
      <c r="B7" s="305" t="s">
        <v>294</v>
      </c>
      <c r="C7" s="306" t="s">
        <v>295</v>
      </c>
    </row>
    <row r="8" spans="1:3" ht="15">
      <c r="A8" s="126" t="s">
        <v>16</v>
      </c>
      <c r="B8" s="541" t="s">
        <v>304</v>
      </c>
      <c r="C8" s="542"/>
    </row>
    <row r="9" spans="1:3" ht="24">
      <c r="A9" s="127" t="s">
        <v>17</v>
      </c>
      <c r="B9" s="543" t="s">
        <v>180</v>
      </c>
      <c r="C9" s="544"/>
    </row>
    <row r="10" spans="1:3" ht="15">
      <c r="A10" s="127" t="s">
        <v>18</v>
      </c>
      <c r="B10" s="545" t="s">
        <v>305</v>
      </c>
      <c r="C10" s="544"/>
    </row>
    <row r="11" spans="1:3" ht="24">
      <c r="A11" s="127" t="s">
        <v>19</v>
      </c>
      <c r="B11" s="545" t="s">
        <v>182</v>
      </c>
      <c r="C11" s="544"/>
    </row>
    <row r="12" spans="1:3" ht="15">
      <c r="A12" s="128" t="s">
        <v>20</v>
      </c>
      <c r="B12" s="545" t="s">
        <v>181</v>
      </c>
      <c r="C12" s="546"/>
    </row>
    <row r="13" spans="1:3" ht="15.75" thickBot="1">
      <c r="A13" s="127" t="s">
        <v>21</v>
      </c>
      <c r="B13" s="547" t="s">
        <v>306</v>
      </c>
      <c r="C13" s="544"/>
    </row>
    <row r="14" spans="1:3" ht="15.75" thickBot="1">
      <c r="A14" s="856" t="s">
        <v>143</v>
      </c>
      <c r="B14" s="857"/>
      <c r="C14" s="548">
        <f>SUM(C8:C13)</f>
        <v>0</v>
      </c>
    </row>
    <row r="15" spans="1:3" ht="23.25" customHeight="1">
      <c r="A15" s="858" t="s">
        <v>164</v>
      </c>
      <c r="B15" s="858"/>
      <c r="C15" s="858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="120" zoomScaleNormal="120" workbookViewId="0" topLeftCell="A1">
      <selection activeCell="P28" sqref="P28"/>
    </sheetView>
  </sheetViews>
  <sheetFormatPr defaultColWidth="9.00390625" defaultRowHeight="12.75"/>
  <cols>
    <col min="1" max="1" width="5.625" style="103" customWidth="1"/>
    <col min="2" max="2" width="66.875" style="103" customWidth="1"/>
    <col min="3" max="3" width="27.00390625" style="103" customWidth="1"/>
    <col min="4" max="16384" width="9.375" style="103" customWidth="1"/>
  </cols>
  <sheetData>
    <row r="2" spans="2:3" ht="15">
      <c r="B2" s="845" t="str">
        <f>CONCATENATE("5. melléklet ",ALAPADATOK!A7," ",ALAPADATOK!B7," ",ALAPADATOK!C7," ",ALAPADATOK!D7," ",ALAPADATOK!E7," ",ALAPADATOK!F7," ",ALAPADATOK!G7," ",ALAPADATOK!H7)</f>
        <v>5. melléklet a … / 2023. ( … ) önkormányzati rendelethez</v>
      </c>
      <c r="C2" s="845"/>
    </row>
    <row r="4" spans="1:3" ht="33" customHeight="1">
      <c r="A4" s="855" t="str">
        <f>CONCATENATE(ALAPADATOK!A3," ",ALAPADATOK!D7," évi adósságot keletkeztető fejlesztési céljai")</f>
        <v>Bátaszék Város Önkormányzata 2023. évi adósságot keletkeztető fejlesztési céljai</v>
      </c>
      <c r="B4" s="855"/>
      <c r="C4" s="855"/>
    </row>
    <row r="5" spans="1:4" ht="15.75" customHeight="1" thickBot="1">
      <c r="A5" s="104"/>
      <c r="B5" s="104"/>
      <c r="C5" s="530" t="str">
        <f>'KV_4.sz.mell.'!C5</f>
        <v>Forintban!</v>
      </c>
      <c r="D5" s="110"/>
    </row>
    <row r="6" spans="1:3" ht="26.25" customHeight="1" thickBot="1">
      <c r="A6" s="122" t="s">
        <v>14</v>
      </c>
      <c r="B6" s="123" t="s">
        <v>144</v>
      </c>
      <c r="C6" s="124" t="s">
        <v>163</v>
      </c>
    </row>
    <row r="7" spans="1:3" ht="15.75" thickBot="1">
      <c r="A7" s="125"/>
      <c r="B7" s="305" t="s">
        <v>294</v>
      </c>
      <c r="C7" s="306" t="s">
        <v>295</v>
      </c>
    </row>
    <row r="8" spans="1:3" ht="15">
      <c r="A8" s="126" t="s">
        <v>16</v>
      </c>
      <c r="B8" s="549"/>
      <c r="C8" s="550"/>
    </row>
    <row r="9" spans="1:3" ht="15">
      <c r="A9" s="127" t="s">
        <v>17</v>
      </c>
      <c r="B9" s="551"/>
      <c r="C9" s="552"/>
    </row>
    <row r="10" spans="1:3" ht="15.75" thickBot="1">
      <c r="A10" s="128" t="s">
        <v>18</v>
      </c>
      <c r="B10" s="553"/>
      <c r="C10" s="554"/>
    </row>
    <row r="11" spans="1:3" s="285" customFormat="1" ht="17.25" customHeight="1" thickBot="1">
      <c r="A11" s="286" t="s">
        <v>19</v>
      </c>
      <c r="B11" s="90" t="s">
        <v>437</v>
      </c>
      <c r="C11" s="548">
        <f>SUM(C8:C10)</f>
        <v>0</v>
      </c>
    </row>
    <row r="12" spans="1:3" ht="26.25" customHeight="1">
      <c r="A12" s="859" t="s">
        <v>436</v>
      </c>
      <c r="B12" s="859"/>
      <c r="C12" s="859"/>
    </row>
    <row r="15" ht="15.75">
      <c r="B15" s="85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="120" zoomScaleNormal="120" workbookViewId="0" topLeftCell="A1">
      <selection activeCell="A6" sqref="A6:F23"/>
    </sheetView>
  </sheetViews>
  <sheetFormatPr defaultColWidth="9.00390625" defaultRowHeight="12.75"/>
  <cols>
    <col min="1" max="1" width="34.00390625" style="22" customWidth="1"/>
    <col min="2" max="2" width="13.125" style="21" customWidth="1"/>
    <col min="3" max="3" width="13.625" style="21" customWidth="1"/>
    <col min="4" max="4" width="14.00390625" style="21" customWidth="1"/>
    <col min="5" max="5" width="13.50390625" style="21" customWidth="1"/>
    <col min="6" max="6" width="13.50390625" style="32" customWidth="1"/>
    <col min="7" max="8" width="12.875" style="21" customWidth="1"/>
    <col min="9" max="9" width="13.875" style="21" customWidth="1"/>
    <col min="10" max="16384" width="9.375" style="21" customWidth="1"/>
  </cols>
  <sheetData>
    <row r="1" spans="1:6" ht="12.75">
      <c r="A1" s="377"/>
      <c r="B1" s="371"/>
      <c r="C1" s="371"/>
      <c r="D1" s="371"/>
      <c r="E1" s="371"/>
      <c r="F1" s="371"/>
    </row>
    <row r="2" spans="1:6" ht="18" customHeight="1">
      <c r="A2" s="377"/>
      <c r="B2" s="861" t="str">
        <f>CONCATENATE("6. melléklet ",ALAPADATOK!A7," ",ALAPADATOK!B7," ",ALAPADATOK!C7," ",ALAPADATOK!D7," ",ALAPADATOK!E7," ",ALAPADATOK!F7," ",ALAPADATOK!G7," ",ALAPADATOK!H7)</f>
        <v>6. melléklet a … / 2023. ( … ) önkormányzati rendelethez</v>
      </c>
      <c r="C2" s="862"/>
      <c r="D2" s="862"/>
      <c r="E2" s="862"/>
      <c r="F2" s="862"/>
    </row>
    <row r="3" spans="1:6" ht="12.75">
      <c r="A3" s="377"/>
      <c r="B3" s="371"/>
      <c r="C3" s="371"/>
      <c r="D3" s="371"/>
      <c r="E3" s="371"/>
      <c r="F3" s="371"/>
    </row>
    <row r="4" spans="1:6" ht="20.25" customHeight="1">
      <c r="A4" s="860" t="s">
        <v>0</v>
      </c>
      <c r="B4" s="860"/>
      <c r="C4" s="860"/>
      <c r="D4" s="860"/>
      <c r="E4" s="860"/>
      <c r="F4" s="860"/>
    </row>
    <row r="5" spans="1:6" ht="20.25" customHeight="1" thickBot="1">
      <c r="A5" s="377"/>
      <c r="B5" s="371"/>
      <c r="C5" s="371"/>
      <c r="D5" s="371"/>
      <c r="E5" s="371"/>
      <c r="F5" s="555" t="str">
        <f>'KV_5.sz.mell.'!C5</f>
        <v>Forintban!</v>
      </c>
    </row>
    <row r="6" spans="1:6" s="23" customFormat="1" ht="44.25" customHeight="1" thickBot="1">
      <c r="A6" s="378" t="s">
        <v>60</v>
      </c>
      <c r="B6" s="379" t="s">
        <v>61</v>
      </c>
      <c r="C6" s="379" t="s">
        <v>62</v>
      </c>
      <c r="D6" s="379" t="str">
        <f>+CONCATENATE("Felhasználás   ",LEFT(KV_ÖSSZEFÜGGÉSEK!A5,4)-1,". XII. 31-ig")</f>
        <v>Felhasználás   2022. XII. 31-ig</v>
      </c>
      <c r="E6" s="379" t="str">
        <f>+'KV_1.1.sz.mell.'!C8</f>
        <v>2023. évi előirányzat</v>
      </c>
      <c r="F6" s="380" t="str">
        <f>+CONCATENATE(LEFT(KV_ÖSSZEFÜGGÉSEK!A5,4),". utáni szükséglet")</f>
        <v>2023. utáni szükséglet</v>
      </c>
    </row>
    <row r="7" spans="1:6" s="32" customFormat="1" ht="12" customHeight="1" thickBot="1">
      <c r="A7" s="30" t="s">
        <v>294</v>
      </c>
      <c r="B7" s="31" t="s">
        <v>295</v>
      </c>
      <c r="C7" s="31" t="s">
        <v>296</v>
      </c>
      <c r="D7" s="31" t="s">
        <v>298</v>
      </c>
      <c r="E7" s="31" t="s">
        <v>297</v>
      </c>
      <c r="F7" s="307" t="s">
        <v>318</v>
      </c>
    </row>
    <row r="8" spans="1:6" ht="15.75" customHeight="1">
      <c r="A8" s="287" t="s">
        <v>782</v>
      </c>
      <c r="B8" s="10">
        <v>148492297</v>
      </c>
      <c r="C8" s="288" t="s">
        <v>694</v>
      </c>
      <c r="D8" s="10">
        <v>8560800</v>
      </c>
      <c r="E8" s="10">
        <v>139931497</v>
      </c>
      <c r="F8" s="33">
        <f>B8-D8-E8</f>
        <v>0</v>
      </c>
    </row>
    <row r="9" spans="1:6" ht="15.75" customHeight="1">
      <c r="A9" s="287" t="s">
        <v>805</v>
      </c>
      <c r="B9" s="10">
        <v>300000</v>
      </c>
      <c r="C9" s="288" t="s">
        <v>686</v>
      </c>
      <c r="D9" s="10"/>
      <c r="E9" s="10">
        <v>300000</v>
      </c>
      <c r="F9" s="33">
        <f aca="true" t="shared" si="0" ref="F9:F22">B9-D9-E9</f>
        <v>0</v>
      </c>
    </row>
    <row r="10" spans="1:6" ht="22.5">
      <c r="A10" s="287" t="s">
        <v>806</v>
      </c>
      <c r="B10" s="10">
        <v>6223000</v>
      </c>
      <c r="C10" s="288" t="s">
        <v>686</v>
      </c>
      <c r="D10" s="10"/>
      <c r="E10" s="10">
        <v>6223000</v>
      </c>
      <c r="F10" s="33">
        <f t="shared" si="0"/>
        <v>0</v>
      </c>
    </row>
    <row r="11" spans="1:6" ht="15.75" customHeight="1">
      <c r="A11" s="771" t="s">
        <v>842</v>
      </c>
      <c r="B11" s="10">
        <v>5000000</v>
      </c>
      <c r="C11" s="288" t="s">
        <v>686</v>
      </c>
      <c r="D11" s="10"/>
      <c r="E11" s="10">
        <v>5000000</v>
      </c>
      <c r="F11" s="33">
        <f t="shared" si="0"/>
        <v>0</v>
      </c>
    </row>
    <row r="12" spans="1:6" ht="15.75" customHeight="1">
      <c r="A12" s="635" t="s">
        <v>856</v>
      </c>
      <c r="B12" s="10">
        <v>5000000</v>
      </c>
      <c r="C12" s="288" t="s">
        <v>849</v>
      </c>
      <c r="D12" s="10">
        <v>2533518</v>
      </c>
      <c r="E12" s="10">
        <v>2466482</v>
      </c>
      <c r="F12" s="33"/>
    </row>
    <row r="13" spans="1:6" ht="15.75" customHeight="1">
      <c r="A13" s="287" t="s">
        <v>836</v>
      </c>
      <c r="B13" s="10">
        <v>1000000</v>
      </c>
      <c r="C13" s="288" t="s">
        <v>686</v>
      </c>
      <c r="D13" s="10"/>
      <c r="E13" s="10">
        <v>1000000</v>
      </c>
      <c r="F13" s="33">
        <f t="shared" si="0"/>
        <v>0</v>
      </c>
    </row>
    <row r="14" spans="1:6" ht="15.75" customHeight="1">
      <c r="A14" s="287" t="s">
        <v>850</v>
      </c>
      <c r="B14" s="10">
        <v>1143000</v>
      </c>
      <c r="C14" s="288" t="s">
        <v>686</v>
      </c>
      <c r="D14" s="10"/>
      <c r="E14" s="10">
        <v>1143000</v>
      </c>
      <c r="F14" s="33">
        <f t="shared" si="0"/>
        <v>0</v>
      </c>
    </row>
    <row r="15" spans="1:6" ht="15.75" customHeight="1">
      <c r="A15" s="287" t="s">
        <v>851</v>
      </c>
      <c r="B15" s="10">
        <v>1500000</v>
      </c>
      <c r="C15" s="288" t="s">
        <v>686</v>
      </c>
      <c r="D15" s="10"/>
      <c r="E15" s="10">
        <v>1500000</v>
      </c>
      <c r="F15" s="33">
        <f t="shared" si="0"/>
        <v>0</v>
      </c>
    </row>
    <row r="16" spans="1:6" ht="15.75" customHeight="1">
      <c r="A16" s="287"/>
      <c r="B16" s="10"/>
      <c r="C16" s="288"/>
      <c r="D16" s="10"/>
      <c r="E16" s="10"/>
      <c r="F16" s="33">
        <f t="shared" si="0"/>
        <v>0</v>
      </c>
    </row>
    <row r="17" spans="1:6" ht="15.75" customHeight="1">
      <c r="A17" s="287"/>
      <c r="B17" s="10"/>
      <c r="C17" s="288"/>
      <c r="D17" s="10"/>
      <c r="E17" s="10"/>
      <c r="F17" s="33">
        <f t="shared" si="0"/>
        <v>0</v>
      </c>
    </row>
    <row r="18" spans="1:6" ht="15.75" customHeight="1">
      <c r="A18" s="287"/>
      <c r="B18" s="10"/>
      <c r="C18" s="288"/>
      <c r="D18" s="10"/>
      <c r="E18" s="10"/>
      <c r="F18" s="33">
        <f t="shared" si="0"/>
        <v>0</v>
      </c>
    </row>
    <row r="19" spans="1:6" ht="15.75" customHeight="1">
      <c r="A19" s="287"/>
      <c r="B19" s="10"/>
      <c r="C19" s="288"/>
      <c r="D19" s="10"/>
      <c r="E19" s="10"/>
      <c r="F19" s="33">
        <f t="shared" si="0"/>
        <v>0</v>
      </c>
    </row>
    <row r="20" spans="1:6" ht="15.75" customHeight="1">
      <c r="A20" s="287"/>
      <c r="B20" s="10"/>
      <c r="C20" s="288"/>
      <c r="D20" s="10"/>
      <c r="E20" s="10"/>
      <c r="F20" s="33">
        <f t="shared" si="0"/>
        <v>0</v>
      </c>
    </row>
    <row r="21" spans="1:6" ht="15.75" customHeight="1">
      <c r="A21" s="287"/>
      <c r="B21" s="10"/>
      <c r="C21" s="288"/>
      <c r="D21" s="10"/>
      <c r="E21" s="10"/>
      <c r="F21" s="33">
        <f t="shared" si="0"/>
        <v>0</v>
      </c>
    </row>
    <row r="22" spans="1:6" ht="15.75" customHeight="1" thickBot="1">
      <c r="A22" s="556"/>
      <c r="B22" s="11"/>
      <c r="C22" s="289"/>
      <c r="D22" s="11"/>
      <c r="E22" s="11"/>
      <c r="F22" s="35">
        <f t="shared" si="0"/>
        <v>0</v>
      </c>
    </row>
    <row r="23" spans="1:6" s="38" customFormat="1" ht="18" customHeight="1" thickBot="1">
      <c r="A23" s="134" t="s">
        <v>59</v>
      </c>
      <c r="B23" s="36">
        <f>SUM(B8:B22)</f>
        <v>168658297</v>
      </c>
      <c r="C23" s="79"/>
      <c r="D23" s="36">
        <f>SUM(D8:D22)</f>
        <v>11094318</v>
      </c>
      <c r="E23" s="36">
        <f>SUM(E8:E22)</f>
        <v>157563979</v>
      </c>
      <c r="F23" s="37">
        <f>SUM(F8:F22)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10" zoomScaleNormal="110" workbookViewId="0" topLeftCell="A1">
      <selection activeCell="A6" sqref="A6:F25"/>
    </sheetView>
  </sheetViews>
  <sheetFormatPr defaultColWidth="9.00390625" defaultRowHeight="12.75"/>
  <cols>
    <col min="1" max="1" width="40.50390625" style="22" customWidth="1"/>
    <col min="2" max="2" width="13.625" style="21" bestFit="1" customWidth="1"/>
    <col min="3" max="3" width="13.50390625" style="21" bestFit="1" customWidth="1"/>
    <col min="4" max="4" width="14.125" style="21" customWidth="1"/>
    <col min="5" max="5" width="11.625" style="21" customWidth="1"/>
    <col min="6" max="6" width="11.375" style="21" customWidth="1"/>
    <col min="7" max="8" width="12.875" style="21" customWidth="1"/>
    <col min="9" max="9" width="13.875" style="21" customWidth="1"/>
    <col min="10" max="16384" width="9.375" style="21" customWidth="1"/>
  </cols>
  <sheetData>
    <row r="1" spans="1:6" ht="12.75">
      <c r="A1" s="377"/>
      <c r="B1" s="371"/>
      <c r="C1" s="371"/>
      <c r="D1" s="371"/>
      <c r="E1" s="371"/>
      <c r="F1" s="371"/>
    </row>
    <row r="2" spans="1:6" ht="21" customHeight="1">
      <c r="A2" s="377"/>
      <c r="B2" s="861" t="str">
        <f>CONCATENATE("7. melléklet ",ALAPADATOK!A7," ",ALAPADATOK!B7," ",ALAPADATOK!C7," ",ALAPADATOK!D7," ",ALAPADATOK!E7," ",ALAPADATOK!F7," ",ALAPADATOK!G7," ",ALAPADATOK!H7)</f>
        <v>7. melléklet a … / 2023. ( … ) önkormányzati rendelethez</v>
      </c>
      <c r="C2" s="861"/>
      <c r="D2" s="861"/>
      <c r="E2" s="861"/>
      <c r="F2" s="861"/>
    </row>
    <row r="3" spans="1:6" ht="12.75">
      <c r="A3" s="377"/>
      <c r="B3" s="371"/>
      <c r="C3" s="371"/>
      <c r="D3" s="371"/>
      <c r="E3" s="371"/>
      <c r="F3" s="371"/>
    </row>
    <row r="4" spans="1:6" ht="24.75" customHeight="1">
      <c r="A4" s="860" t="s">
        <v>1</v>
      </c>
      <c r="B4" s="860"/>
      <c r="C4" s="860"/>
      <c r="D4" s="860"/>
      <c r="E4" s="860"/>
      <c r="F4" s="860"/>
    </row>
    <row r="5" spans="1:6" ht="23.25" customHeight="1" thickBot="1">
      <c r="A5" s="377"/>
      <c r="B5" s="371"/>
      <c r="C5" s="371"/>
      <c r="D5" s="371"/>
      <c r="E5" s="371"/>
      <c r="F5" s="555" t="str">
        <f>'KV_6.sz.mell.'!F5</f>
        <v>Forintban!</v>
      </c>
    </row>
    <row r="6" spans="1:6" s="23" customFormat="1" ht="48.75" customHeight="1" thickBot="1">
      <c r="A6" s="378" t="s">
        <v>63</v>
      </c>
      <c r="B6" s="379" t="s">
        <v>61</v>
      </c>
      <c r="C6" s="379" t="s">
        <v>62</v>
      </c>
      <c r="D6" s="379" t="str">
        <f>+'KV_6.sz.mell.'!D6</f>
        <v>Felhasználás   2022. XII. 31-ig</v>
      </c>
      <c r="E6" s="379" t="str">
        <f>+'KV_6.sz.mell.'!E6</f>
        <v>2023. évi előirányzat</v>
      </c>
      <c r="F6" s="380" t="str">
        <f>+CONCATENATE(LEFT(KV_ÖSSZEFÜGGÉSEK!A5,4),". utáni szükséglet ",CHAR(10),"")</f>
        <v>2023. utáni szükséglet 
</v>
      </c>
    </row>
    <row r="7" spans="1:6" s="32" customFormat="1" ht="15" customHeight="1" thickBot="1">
      <c r="A7" s="30" t="s">
        <v>294</v>
      </c>
      <c r="B7" s="31" t="s">
        <v>295</v>
      </c>
      <c r="C7" s="31" t="s">
        <v>296</v>
      </c>
      <c r="D7" s="31" t="s">
        <v>298</v>
      </c>
      <c r="E7" s="31" t="s">
        <v>297</v>
      </c>
      <c r="F7" s="308" t="s">
        <v>318</v>
      </c>
    </row>
    <row r="8" spans="1:6" ht="15.75" customHeight="1">
      <c r="A8" s="557" t="s">
        <v>685</v>
      </c>
      <c r="B8" s="39">
        <v>1800000</v>
      </c>
      <c r="C8" s="290" t="s">
        <v>686</v>
      </c>
      <c r="D8" s="39"/>
      <c r="E8" s="39">
        <v>1800000</v>
      </c>
      <c r="F8" s="40">
        <f>B8-D8-E8</f>
        <v>0</v>
      </c>
    </row>
    <row r="9" spans="1:6" ht="15.75" customHeight="1">
      <c r="A9" s="557" t="s">
        <v>874</v>
      </c>
      <c r="B9" s="39">
        <v>3000000</v>
      </c>
      <c r="C9" s="290" t="s">
        <v>686</v>
      </c>
      <c r="D9" s="39"/>
      <c r="E9" s="39">
        <v>3000000</v>
      </c>
      <c r="F9" s="40">
        <f aca="true" t="shared" si="0" ref="F9:F24">B9-D9-E9</f>
        <v>0</v>
      </c>
    </row>
    <row r="10" spans="1:6" ht="25.5" customHeight="1">
      <c r="A10" s="557" t="s">
        <v>687</v>
      </c>
      <c r="B10" s="39">
        <v>1800000</v>
      </c>
      <c r="C10" s="290" t="s">
        <v>686</v>
      </c>
      <c r="D10" s="39"/>
      <c r="E10" s="39">
        <v>1800000</v>
      </c>
      <c r="F10" s="40">
        <f t="shared" si="0"/>
        <v>0</v>
      </c>
    </row>
    <row r="11" spans="1:6" ht="12.75">
      <c r="A11" s="557" t="s">
        <v>690</v>
      </c>
      <c r="B11" s="39">
        <v>500000</v>
      </c>
      <c r="C11" s="290" t="s">
        <v>686</v>
      </c>
      <c r="D11" s="39"/>
      <c r="E11" s="39">
        <v>500000</v>
      </c>
      <c r="F11" s="40">
        <f>B11-D11-E11</f>
        <v>0</v>
      </c>
    </row>
    <row r="12" spans="1:6" ht="12.75">
      <c r="A12" s="557" t="s">
        <v>691</v>
      </c>
      <c r="B12" s="39">
        <v>500000</v>
      </c>
      <c r="C12" s="290" t="s">
        <v>686</v>
      </c>
      <c r="D12" s="39"/>
      <c r="E12" s="39">
        <v>500000</v>
      </c>
      <c r="F12" s="40">
        <f t="shared" si="0"/>
        <v>0</v>
      </c>
    </row>
    <row r="13" spans="1:6" ht="15.75" customHeight="1">
      <c r="A13" s="557" t="s">
        <v>688</v>
      </c>
      <c r="B13" s="39">
        <v>200000</v>
      </c>
      <c r="C13" s="290" t="s">
        <v>686</v>
      </c>
      <c r="D13" s="39"/>
      <c r="E13" s="39">
        <v>200000</v>
      </c>
      <c r="F13" s="40">
        <f t="shared" si="0"/>
        <v>0</v>
      </c>
    </row>
    <row r="14" spans="1:6" ht="15.75" customHeight="1">
      <c r="A14" s="557" t="s">
        <v>689</v>
      </c>
      <c r="B14" s="39">
        <v>1000000</v>
      </c>
      <c r="C14" s="290" t="s">
        <v>686</v>
      </c>
      <c r="D14" s="39"/>
      <c r="E14" s="39">
        <v>1000000</v>
      </c>
      <c r="F14" s="40">
        <f t="shared" si="0"/>
        <v>0</v>
      </c>
    </row>
    <row r="15" spans="1:6" ht="15.75" customHeight="1">
      <c r="A15" s="557" t="s">
        <v>843</v>
      </c>
      <c r="B15" s="39">
        <v>900000</v>
      </c>
      <c r="C15" s="290" t="s">
        <v>686</v>
      </c>
      <c r="D15" s="39"/>
      <c r="E15" s="763">
        <v>900000</v>
      </c>
      <c r="F15" s="40">
        <f t="shared" si="0"/>
        <v>0</v>
      </c>
    </row>
    <row r="16" spans="1:6" ht="15.75" customHeight="1">
      <c r="A16" s="557"/>
      <c r="B16" s="39"/>
      <c r="C16" s="290"/>
      <c r="D16" s="39"/>
      <c r="E16" s="39"/>
      <c r="F16" s="40">
        <f t="shared" si="0"/>
        <v>0</v>
      </c>
    </row>
    <row r="17" spans="1:6" ht="15.75" customHeight="1">
      <c r="A17" s="557"/>
      <c r="B17" s="39"/>
      <c r="C17" s="290"/>
      <c r="D17" s="39"/>
      <c r="E17" s="39"/>
      <c r="F17" s="40">
        <f t="shared" si="0"/>
        <v>0</v>
      </c>
    </row>
    <row r="18" spans="1:6" ht="15.75" customHeight="1">
      <c r="A18" s="557"/>
      <c r="B18" s="39"/>
      <c r="C18" s="290"/>
      <c r="D18" s="39"/>
      <c r="E18" s="39"/>
      <c r="F18" s="40">
        <f t="shared" si="0"/>
        <v>0</v>
      </c>
    </row>
    <row r="19" spans="1:6" ht="15.75" customHeight="1">
      <c r="A19" s="557"/>
      <c r="B19" s="39"/>
      <c r="C19" s="290"/>
      <c r="D19" s="39"/>
      <c r="E19" s="39"/>
      <c r="F19" s="40">
        <f t="shared" si="0"/>
        <v>0</v>
      </c>
    </row>
    <row r="20" spans="1:6" ht="15.75" customHeight="1">
      <c r="A20" s="557"/>
      <c r="B20" s="39"/>
      <c r="C20" s="290"/>
      <c r="D20" s="39"/>
      <c r="E20" s="39"/>
      <c r="F20" s="40">
        <f t="shared" si="0"/>
        <v>0</v>
      </c>
    </row>
    <row r="21" spans="1:6" ht="15.75" customHeight="1">
      <c r="A21" s="557"/>
      <c r="B21" s="39"/>
      <c r="C21" s="290"/>
      <c r="D21" s="39"/>
      <c r="E21" s="39"/>
      <c r="F21" s="40">
        <f t="shared" si="0"/>
        <v>0</v>
      </c>
    </row>
    <row r="22" spans="1:6" ht="15.75" customHeight="1">
      <c r="A22" s="557"/>
      <c r="B22" s="39"/>
      <c r="C22" s="290"/>
      <c r="D22" s="39"/>
      <c r="E22" s="39"/>
      <c r="F22" s="40">
        <f t="shared" si="0"/>
        <v>0</v>
      </c>
    </row>
    <row r="23" spans="1:6" ht="15.75" customHeight="1">
      <c r="A23" s="557"/>
      <c r="B23" s="39"/>
      <c r="C23" s="290"/>
      <c r="D23" s="39"/>
      <c r="E23" s="39"/>
      <c r="F23" s="40">
        <f t="shared" si="0"/>
        <v>0</v>
      </c>
    </row>
    <row r="24" spans="1:6" ht="15.75" customHeight="1" thickBot="1">
      <c r="A24" s="558"/>
      <c r="B24" s="41"/>
      <c r="C24" s="291"/>
      <c r="D24" s="41"/>
      <c r="E24" s="41"/>
      <c r="F24" s="42">
        <f t="shared" si="0"/>
        <v>0</v>
      </c>
    </row>
    <row r="25" spans="1:6" s="38" customFormat="1" ht="18" customHeight="1" thickBot="1">
      <c r="A25" s="134" t="s">
        <v>59</v>
      </c>
      <c r="B25" s="135">
        <f>SUM(B8:B24)</f>
        <v>9700000</v>
      </c>
      <c r="C25" s="80"/>
      <c r="D25" s="135">
        <f>SUM(D8:D24)</f>
        <v>0</v>
      </c>
      <c r="E25" s="135">
        <f>SUM(E8:E24)</f>
        <v>9700000</v>
      </c>
      <c r="F25" s="43">
        <f>SUM(F8:F24)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>
    <oddHeader xml:space="preserve">&amp;R&amp;"Times New Roman CE,Félkövér dőlt"&amp;12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="120" zoomScaleNormal="120" workbookViewId="0" topLeftCell="A1">
      <selection activeCell="S33" sqref="S33"/>
    </sheetView>
  </sheetViews>
  <sheetFormatPr defaultColWidth="9.00390625" defaultRowHeight="12.75"/>
  <cols>
    <col min="1" max="1" width="29.625" style="0" customWidth="1"/>
    <col min="2" max="2" width="20.00390625" style="0" customWidth="1"/>
    <col min="3" max="3" width="15.50390625" style="0" customWidth="1"/>
    <col min="4" max="4" width="16.00390625" style="0" customWidth="1"/>
    <col min="5" max="5" width="16.125" style="0" customWidth="1"/>
    <col min="6" max="6" width="12.125" style="0" customWidth="1"/>
  </cols>
  <sheetData>
    <row r="1" spans="2:5" ht="12.75">
      <c r="B1" s="863" t="s">
        <v>875</v>
      </c>
      <c r="C1" s="863"/>
      <c r="D1" s="863"/>
      <c r="E1" s="863"/>
    </row>
    <row r="2" spans="1:5" ht="15.75">
      <c r="A2" s="880" t="s">
        <v>428</v>
      </c>
      <c r="B2" s="880"/>
      <c r="C2" s="880"/>
      <c r="D2" s="880"/>
      <c r="E2" s="880"/>
    </row>
    <row r="3" spans="1:5" ht="14.25" thickBot="1">
      <c r="A3" s="419"/>
      <c r="B3" s="419"/>
      <c r="C3" s="419"/>
      <c r="D3" s="419"/>
      <c r="E3" s="422" t="str">
        <f>'KV_7.sz.mell.'!F5</f>
        <v>Forintban!</v>
      </c>
    </row>
    <row r="4" spans="1:5" ht="13.5" thickBot="1">
      <c r="A4" s="881" t="s">
        <v>102</v>
      </c>
      <c r="B4" s="882"/>
      <c r="C4" s="882"/>
      <c r="D4" s="882"/>
      <c r="E4" s="424" t="s">
        <v>52</v>
      </c>
    </row>
    <row r="5" spans="1:5" ht="12.75">
      <c r="A5" s="883"/>
      <c r="B5" s="884"/>
      <c r="C5" s="884"/>
      <c r="D5" s="884"/>
      <c r="E5" s="425"/>
    </row>
    <row r="6" spans="1:5" ht="13.5" thickBot="1">
      <c r="A6" s="885"/>
      <c r="B6" s="886"/>
      <c r="C6" s="886"/>
      <c r="D6" s="886"/>
      <c r="E6" s="426"/>
    </row>
    <row r="7" spans="1:5" ht="13.5" customHeight="1" thickBot="1">
      <c r="A7" s="887" t="s">
        <v>424</v>
      </c>
      <c r="B7" s="888"/>
      <c r="C7" s="888"/>
      <c r="D7" s="888"/>
      <c r="E7" s="427">
        <f>SUM(E5:E6)</f>
        <v>0</v>
      </c>
    </row>
    <row r="8" spans="1:5" ht="13.5" customHeight="1">
      <c r="A8" s="428"/>
      <c r="B8" s="428"/>
      <c r="C8" s="428"/>
      <c r="D8" s="428"/>
      <c r="E8" s="429"/>
    </row>
    <row r="9" spans="1:5" ht="15.75">
      <c r="A9" s="889" t="s">
        <v>420</v>
      </c>
      <c r="B9" s="889"/>
      <c r="C9" s="889"/>
      <c r="D9" s="889"/>
      <c r="E9" s="889"/>
    </row>
    <row r="10" spans="1:5" ht="15.75">
      <c r="A10" s="890" t="s">
        <v>593</v>
      </c>
      <c r="B10" s="889"/>
      <c r="C10" s="889"/>
      <c r="D10" s="889"/>
      <c r="E10" s="889"/>
    </row>
    <row r="11" spans="1:5" ht="14.25" customHeight="1">
      <c r="A11" s="865" t="s">
        <v>430</v>
      </c>
      <c r="B11" s="865"/>
      <c r="C11" s="866" t="s">
        <v>782</v>
      </c>
      <c r="D11" s="866"/>
      <c r="E11" s="866"/>
    </row>
    <row r="12" spans="1:5" ht="15.75" thickBot="1">
      <c r="A12" s="420"/>
      <c r="B12" s="420"/>
      <c r="C12" s="420"/>
      <c r="D12" s="420"/>
      <c r="E12" s="423" t="str">
        <f>$E$3</f>
        <v>Forintban!</v>
      </c>
    </row>
    <row r="13" spans="1:5" ht="13.5" customHeight="1" thickBot="1">
      <c r="A13" s="867" t="s">
        <v>96</v>
      </c>
      <c r="B13" s="870" t="s">
        <v>423</v>
      </c>
      <c r="C13" s="871"/>
      <c r="D13" s="871"/>
      <c r="E13" s="872"/>
    </row>
    <row r="14" spans="1:5" ht="13.5" customHeight="1" thickBot="1">
      <c r="A14" s="868"/>
      <c r="B14" s="873" t="s">
        <v>857</v>
      </c>
      <c r="C14" s="876" t="s">
        <v>429</v>
      </c>
      <c r="D14" s="877"/>
      <c r="E14" s="878"/>
    </row>
    <row r="15" spans="1:5" ht="12.75" customHeight="1">
      <c r="A15" s="868"/>
      <c r="B15" s="874"/>
      <c r="C15" s="873" t="str">
        <f>CONCATENATE(TARTALOMJEGYZÉK!A1,".  előttre ütemezett bevétel, kiadás")</f>
        <v>2023.  előttre ütemezett bevétel, kiadás</v>
      </c>
      <c r="D15" s="873" t="str">
        <f>CONCATENATE(TARTALOMJEGYZÉK!A1,". évre ütemezett bevétel, kiadás")</f>
        <v>2023. évre ütemezett bevétel, kiadás</v>
      </c>
      <c r="E15" s="873" t="str">
        <f>CONCATENATE(TARTALOMJEGYZÉK!A1,". utánra ütemezett bevétel, kiadás")</f>
        <v>2023. utánra ütemezett bevétel, kiadás</v>
      </c>
    </row>
    <row r="16" spans="1:5" ht="28.5" customHeight="1" thickBot="1">
      <c r="A16" s="869"/>
      <c r="B16" s="875"/>
      <c r="C16" s="879"/>
      <c r="D16" s="879"/>
      <c r="E16" s="875"/>
    </row>
    <row r="17" spans="1:5" ht="13.5" thickBot="1">
      <c r="A17" s="430" t="s">
        <v>294</v>
      </c>
      <c r="B17" s="431" t="s">
        <v>431</v>
      </c>
      <c r="C17" s="432" t="s">
        <v>296</v>
      </c>
      <c r="D17" s="421" t="s">
        <v>298</v>
      </c>
      <c r="E17" s="433" t="s">
        <v>297</v>
      </c>
    </row>
    <row r="18" spans="1:5" ht="12.75">
      <c r="A18" s="434" t="s">
        <v>97</v>
      </c>
      <c r="B18" s="559">
        <f>C18+D18+E18</f>
        <v>51593320</v>
      </c>
      <c r="C18" s="560">
        <v>4863303</v>
      </c>
      <c r="D18" s="560">
        <v>46730017</v>
      </c>
      <c r="E18" s="561"/>
    </row>
    <row r="19" spans="1:5" ht="12.75">
      <c r="A19" s="435" t="s">
        <v>108</v>
      </c>
      <c r="B19" s="562">
        <f aca="true" t="shared" si="0" ref="B19:B29">C19+D19+E19</f>
        <v>0</v>
      </c>
      <c r="C19" s="563"/>
      <c r="D19" s="563"/>
      <c r="E19" s="563"/>
    </row>
    <row r="20" spans="1:5" ht="12.75">
      <c r="A20" s="436" t="s">
        <v>98</v>
      </c>
      <c r="B20" s="564">
        <f t="shared" si="0"/>
        <v>96898978</v>
      </c>
      <c r="C20" s="565">
        <v>42341358</v>
      </c>
      <c r="D20" s="565">
        <v>54557620</v>
      </c>
      <c r="E20" s="565"/>
    </row>
    <row r="21" spans="1:5" ht="12.75">
      <c r="A21" s="436" t="s">
        <v>110</v>
      </c>
      <c r="B21" s="564">
        <f t="shared" si="0"/>
        <v>0</v>
      </c>
      <c r="C21" s="565"/>
      <c r="D21" s="565"/>
      <c r="E21" s="565"/>
    </row>
    <row r="22" spans="1:5" ht="12.75">
      <c r="A22" s="436" t="s">
        <v>99</v>
      </c>
      <c r="B22" s="564">
        <f t="shared" si="0"/>
        <v>0</v>
      </c>
      <c r="C22" s="565"/>
      <c r="D22" s="565"/>
      <c r="E22" s="565"/>
    </row>
    <row r="23" spans="1:5" ht="13.5" thickBot="1">
      <c r="A23" s="436" t="s">
        <v>100</v>
      </c>
      <c r="B23" s="564">
        <f t="shared" si="0"/>
        <v>0</v>
      </c>
      <c r="C23" s="565"/>
      <c r="D23" s="565"/>
      <c r="E23" s="565"/>
    </row>
    <row r="24" spans="1:5" ht="13.5" thickBot="1">
      <c r="A24" s="437" t="s">
        <v>101</v>
      </c>
      <c r="B24" s="566">
        <f>B18+SUM(B20:B23)</f>
        <v>148492298</v>
      </c>
      <c r="C24" s="566">
        <f>C18+SUM(C20:C23)</f>
        <v>47204661</v>
      </c>
      <c r="D24" s="566">
        <f>D18+SUM(D20:D23)</f>
        <v>101287637</v>
      </c>
      <c r="E24" s="567">
        <f>E18+SUM(E20:E23)</f>
        <v>0</v>
      </c>
    </row>
    <row r="25" spans="1:5" ht="12.75">
      <c r="A25" s="438" t="s">
        <v>104</v>
      </c>
      <c r="B25" s="559">
        <f>C25+D25+E25</f>
        <v>0</v>
      </c>
      <c r="C25" s="560"/>
      <c r="D25" s="560"/>
      <c r="E25" s="561"/>
    </row>
    <row r="26" spans="1:5" ht="12.75">
      <c r="A26" s="439" t="s">
        <v>105</v>
      </c>
      <c r="B26" s="564">
        <f t="shared" si="0"/>
        <v>148492297</v>
      </c>
      <c r="C26" s="565">
        <v>8560800</v>
      </c>
      <c r="D26" s="565">
        <v>139931497</v>
      </c>
      <c r="E26" s="565"/>
    </row>
    <row r="27" spans="1:5" ht="12.75">
      <c r="A27" s="439" t="s">
        <v>106</v>
      </c>
      <c r="B27" s="564">
        <f t="shared" si="0"/>
        <v>0</v>
      </c>
      <c r="C27" s="565"/>
      <c r="D27" s="565"/>
      <c r="E27" s="565"/>
    </row>
    <row r="28" spans="1:5" ht="12.75">
      <c r="A28" s="439" t="s">
        <v>107</v>
      </c>
      <c r="B28" s="564">
        <f t="shared" si="0"/>
        <v>0</v>
      </c>
      <c r="C28" s="565"/>
      <c r="D28" s="565"/>
      <c r="E28" s="565"/>
    </row>
    <row r="29" spans="1:5" ht="13.5" thickBot="1">
      <c r="A29" s="440"/>
      <c r="B29" s="568">
        <f t="shared" si="0"/>
        <v>0</v>
      </c>
      <c r="C29" s="569"/>
      <c r="D29" s="569"/>
      <c r="E29" s="570"/>
    </row>
    <row r="30" spans="1:5" ht="13.5" thickBot="1">
      <c r="A30" s="441" t="s">
        <v>84</v>
      </c>
      <c r="B30" s="566">
        <f>SUM(B25:B29)</f>
        <v>148492297</v>
      </c>
      <c r="C30" s="566">
        <f>SUM(C25:C29)</f>
        <v>8560800</v>
      </c>
      <c r="D30" s="566">
        <f>SUM(D25:D29)</f>
        <v>139931497</v>
      </c>
      <c r="E30" s="567">
        <f>SUM(E25:E29)</f>
        <v>0</v>
      </c>
    </row>
    <row r="31" spans="1:5" ht="12.75" customHeight="1">
      <c r="A31" s="864" t="s">
        <v>432</v>
      </c>
      <c r="B31" s="864"/>
      <c r="C31" s="864"/>
      <c r="D31" s="864"/>
      <c r="E31" s="864"/>
    </row>
    <row r="32" spans="1:5" ht="12.75">
      <c r="A32" s="442"/>
      <c r="B32" s="442"/>
      <c r="C32" s="442"/>
      <c r="D32" s="442"/>
      <c r="E32" s="442"/>
    </row>
    <row r="33" spans="1:5" ht="14.25">
      <c r="A33" s="865"/>
      <c r="B33" s="865"/>
      <c r="C33" s="866"/>
      <c r="D33" s="866"/>
      <c r="E33" s="866"/>
    </row>
  </sheetData>
  <sheetProtection/>
  <mergeCells count="20">
    <mergeCell ref="E15:E16"/>
    <mergeCell ref="A2:E2"/>
    <mergeCell ref="A4:D4"/>
    <mergeCell ref="A5:D5"/>
    <mergeCell ref="A6:D6"/>
    <mergeCell ref="A7:D7"/>
    <mergeCell ref="A9:E9"/>
    <mergeCell ref="A10:E10"/>
    <mergeCell ref="A11:B11"/>
    <mergeCell ref="C11:E11"/>
    <mergeCell ref="B1:E1"/>
    <mergeCell ref="A31:E31"/>
    <mergeCell ref="A33:B33"/>
    <mergeCell ref="C33:E33"/>
    <mergeCell ref="A13:A16"/>
    <mergeCell ref="B13:E13"/>
    <mergeCell ref="B14:B16"/>
    <mergeCell ref="C14:E14"/>
    <mergeCell ref="C15:C16"/>
    <mergeCell ref="D15:D1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3"/>
  <sheetViews>
    <sheetView tabSelected="1" zoomScale="120" zoomScaleNormal="120" zoomScaleSheetLayoutView="85" workbookViewId="0" topLeftCell="A97">
      <selection activeCell="F106" sqref="F106"/>
    </sheetView>
  </sheetViews>
  <sheetFormatPr defaultColWidth="9.00390625" defaultRowHeight="12.75"/>
  <cols>
    <col min="1" max="1" width="7.625" style="258" customWidth="1"/>
    <col min="2" max="2" width="65.625" style="257" customWidth="1"/>
    <col min="3" max="3" width="21.875" style="258" customWidth="1"/>
    <col min="4" max="16384" width="9.375" style="3" customWidth="1"/>
  </cols>
  <sheetData>
    <row r="1" spans="1:3" s="2" customFormat="1" ht="23.25" customHeight="1" thickBot="1">
      <c r="A1" s="571"/>
      <c r="B1" s="891" t="str">
        <f>CONCATENATE("9. melléklet ",ALAPADATOK!A7," ",ALAPADATOK!B7," ",ALAPADATOK!C7," ",ALAPADATOK!D7," ",ALAPADATOK!E7," ",ALAPADATOK!F7," ",ALAPADATOK!G7," ",ALAPADATOK!H7)</f>
        <v>9. melléklet a … / 2023. ( … ) önkormányzati rendelethez</v>
      </c>
      <c r="C1" s="892"/>
    </row>
    <row r="2" spans="1:3" s="57" customFormat="1" ht="21" customHeight="1">
      <c r="A2" s="895" t="str">
        <f>CONCATENATE(ALAPADATOK!A3)</f>
        <v>Bátaszék Város Önkormányzata</v>
      </c>
      <c r="B2" s="896"/>
      <c r="C2" s="357" t="s">
        <v>51</v>
      </c>
    </row>
    <row r="3" spans="1:3" s="57" customFormat="1" ht="16.5" thickBot="1">
      <c r="A3" s="897" t="s">
        <v>258</v>
      </c>
      <c r="B3" s="898"/>
      <c r="C3" s="358" t="s">
        <v>51</v>
      </c>
    </row>
    <row r="4" spans="1:3" s="58" customFormat="1" ht="15.75" customHeight="1" thickBot="1">
      <c r="A4" s="899"/>
      <c r="B4" s="899"/>
      <c r="C4" s="574" t="str">
        <f>'KV_7.sz.mell.'!F5</f>
        <v>Forintban!</v>
      </c>
    </row>
    <row r="5" spans="1:3" ht="31.5" customHeight="1" thickBot="1">
      <c r="A5" s="610" t="str">
        <f>'KV_1.1.sz.mell.'!A8</f>
        <v>Sor-
szám</v>
      </c>
      <c r="B5" s="137" t="str">
        <f>'KV_1.1.sz.mell.'!B8</f>
        <v>Bevételi jogcím</v>
      </c>
      <c r="C5" s="463" t="str">
        <f>'KV_1.1.sz.mell.'!C8</f>
        <v>2023. évi előirányzat</v>
      </c>
    </row>
    <row r="6" spans="1:3" s="44" customFormat="1" ht="13.5" customHeight="1" thickBot="1">
      <c r="A6" s="572"/>
      <c r="B6" s="464" t="str">
        <f>'KV_1.1.sz.mell.'!B9</f>
        <v>A</v>
      </c>
      <c r="C6" s="362" t="str">
        <f>'KV_1.1.sz.mell.'!C9</f>
        <v>B</v>
      </c>
    </row>
    <row r="7" spans="1:3" s="44" customFormat="1" ht="12" customHeight="1" thickBot="1">
      <c r="A7" s="447">
        <f>'KV_1.1.sz.mell.'!A10</f>
        <v>1</v>
      </c>
      <c r="B7" s="396" t="str">
        <f>'KV_1.1.sz.mell.'!B10</f>
        <v>Működési célú támogatások államháztartáson belülről (10+…+11+…+14)</v>
      </c>
      <c r="C7" s="208">
        <f>C16+C17+C18+C19+C20</f>
        <v>774943246</v>
      </c>
    </row>
    <row r="8" spans="1:3" s="59" customFormat="1" ht="12" customHeight="1">
      <c r="A8" s="444" t="str">
        <f>'KV_1.1.sz.mell.'!A11</f>
        <v>2</v>
      </c>
      <c r="B8" s="397" t="str">
        <f>'KV_1.1.sz.mell.'!B11</f>
        <v>Helyi önkormányzatok működésének általános támogatása</v>
      </c>
      <c r="C8" s="668">
        <v>212720456</v>
      </c>
    </row>
    <row r="9" spans="1:3" s="60" customFormat="1" ht="12" customHeight="1">
      <c r="A9" s="444" t="str">
        <f>'KV_1.1.sz.mell.'!A12</f>
        <v>3</v>
      </c>
      <c r="B9" s="398" t="str">
        <f>'KV_1.1.sz.mell.'!B12</f>
        <v>Önkormányzatok egyes köznevelési feladatainak támogatása</v>
      </c>
      <c r="C9" s="668">
        <v>242155903</v>
      </c>
    </row>
    <row r="10" spans="1:3" s="60" customFormat="1" ht="12" customHeight="1">
      <c r="A10" s="444" t="str">
        <f>'KV_1.1.sz.mell.'!A13</f>
        <v>4</v>
      </c>
      <c r="B10" s="398" t="str">
        <f>'KV_1.1.sz.mell.'!B13</f>
        <v>Önkormányzatok szociális és gyermekjóléti feladatainak támogatása</v>
      </c>
      <c r="C10" s="668">
        <v>101472773</v>
      </c>
    </row>
    <row r="11" spans="1:3" s="60" customFormat="1" ht="12" customHeight="1">
      <c r="A11" s="444" t="str">
        <f>'KV_1.1.sz.mell.'!A14</f>
        <v>5</v>
      </c>
      <c r="B11" s="398" t="str">
        <f>'KV_1.1.sz.mell.'!B14</f>
        <v>Önkormányzatok gyermekétkeztetési feladatainak támogatása</v>
      </c>
      <c r="C11" s="668">
        <v>100167758</v>
      </c>
    </row>
    <row r="12" spans="1:3" s="60" customFormat="1" ht="12" customHeight="1">
      <c r="A12" s="444" t="str">
        <f>'KV_1.1.sz.mell.'!A15</f>
        <v>6</v>
      </c>
      <c r="B12" s="398" t="str">
        <f>'KV_1.1.sz.mell.'!B15</f>
        <v>Önkormányzatok kulturális feladatainak támogatása</v>
      </c>
      <c r="C12" s="668">
        <v>18058356</v>
      </c>
    </row>
    <row r="13" spans="1:3" s="59" customFormat="1" ht="12" customHeight="1">
      <c r="A13" s="444" t="str">
        <f>'KV_1.1.sz.mell.'!A16</f>
        <v>7</v>
      </c>
      <c r="B13" s="398" t="str">
        <f>'KV_1.1.sz.mell.'!B16</f>
        <v>Működési célú kvi támogatások és kiegészítő támogatások </v>
      </c>
      <c r="C13" s="211"/>
    </row>
    <row r="14" spans="1:3" s="59" customFormat="1" ht="12" customHeight="1">
      <c r="A14" s="444" t="str">
        <f>'KV_1.1.sz.mell.'!A17</f>
        <v>8</v>
      </c>
      <c r="B14" s="333" t="str">
        <f>'KV_1.1.sz.mell.'!B17</f>
        <v>Elszámolásból származó bevételek</v>
      </c>
      <c r="C14" s="211"/>
    </row>
    <row r="15" spans="1:3" s="59" customFormat="1" ht="12" customHeight="1">
      <c r="A15" s="444" t="str">
        <f>'KV_1.1.sz.mell.'!A18</f>
        <v>9</v>
      </c>
      <c r="B15" s="333" t="str">
        <f>'KV_1.1.sz.mell.'!B18</f>
        <v>Elvonások és befizetések bevételei</v>
      </c>
      <c r="C15" s="634"/>
    </row>
    <row r="16" spans="1:3" s="59" customFormat="1" ht="12" customHeight="1">
      <c r="A16" s="444" t="str">
        <f>'KV_1.1.sz.mell.'!A19</f>
        <v>10</v>
      </c>
      <c r="B16" s="497" t="str">
        <f>'KV_1.1.sz.mell.'!B19</f>
        <v>Önkormányzat működési támogatásai (2+…+.9)</v>
      </c>
      <c r="C16" s="459">
        <f>SUM(C8:C15)</f>
        <v>674575246</v>
      </c>
    </row>
    <row r="17" spans="1:3" s="59" customFormat="1" ht="12" customHeight="1">
      <c r="A17" s="444" t="str">
        <f>'KV_1.1.sz.mell.'!A20</f>
        <v>11</v>
      </c>
      <c r="B17" s="397" t="str">
        <f>'KV_1.1.sz.mell.'!B20</f>
        <v>Működési célú garancia- és kezességvállalásból megtérülések </v>
      </c>
      <c r="C17" s="211"/>
    </row>
    <row r="18" spans="1:3" s="59" customFormat="1" ht="12" customHeight="1">
      <c r="A18" s="444" t="str">
        <f>'KV_1.1.sz.mell.'!A21</f>
        <v>12</v>
      </c>
      <c r="B18" s="398" t="str">
        <f>'KV_1.1.sz.mell.'!B21</f>
        <v>Működési célú visszatérítendő támogatások, kölcsönök visszatérülése </v>
      </c>
      <c r="C18" s="211"/>
    </row>
    <row r="19" spans="1:3" s="59" customFormat="1" ht="12" customHeight="1">
      <c r="A19" s="444" t="str">
        <f>'KV_1.1.sz.mell.'!A22</f>
        <v>13</v>
      </c>
      <c r="B19" s="398" t="str">
        <f>'KV_1.1.sz.mell.'!B22</f>
        <v>Működési célú visszatérítendő támogatások, kölcsönök igénybevétele</v>
      </c>
      <c r="C19" s="211"/>
    </row>
    <row r="20" spans="1:3" s="59" customFormat="1" ht="12" customHeight="1">
      <c r="A20" s="444" t="str">
        <f>'KV_1.1.sz.mell.'!A23</f>
        <v>14</v>
      </c>
      <c r="B20" s="398" t="str">
        <f>'KV_1.1.sz.mell.'!B23</f>
        <v>Egyéb működési célú támogatások bevételei </v>
      </c>
      <c r="C20" s="211">
        <f>'KV_20.sz.mell'!C5-'KV_20.sz.mell'!C18-'KV_20.sz.mell'!C19-'KV_20.sz.mell'!C20-'KV_20.sz.mell'!C21-'KV_20.sz.mell'!C22</f>
        <v>100368000</v>
      </c>
    </row>
    <row r="21" spans="1:3" s="60" customFormat="1" ht="12" customHeight="1" thickBot="1">
      <c r="A21" s="444" t="str">
        <f>'KV_1.1.sz.mell.'!A24</f>
        <v>15</v>
      </c>
      <c r="B21" s="333" t="str">
        <f>'KV_1.1.sz.mell.'!B24</f>
        <v>14-ből EU-s támogatás</v>
      </c>
      <c r="C21" s="211"/>
    </row>
    <row r="22" spans="1:3" s="60" customFormat="1" ht="12" customHeight="1" thickBot="1">
      <c r="A22" s="447">
        <f>'KV_1.1.sz.mell.'!A25</f>
        <v>16</v>
      </c>
      <c r="B22" s="396" t="str">
        <f>'KV_1.1.sz.mell.'!B25</f>
        <v>Felhalmozási célú támogatások államháztartáson belülről (17+…+21)</v>
      </c>
      <c r="C22" s="208">
        <f>+C23+C24+C25+C26+C27</f>
        <v>54557620</v>
      </c>
    </row>
    <row r="23" spans="1:3" s="60" customFormat="1" ht="12" customHeight="1">
      <c r="A23" s="444" t="str">
        <f>'KV_1.1.sz.mell.'!A26</f>
        <v>17</v>
      </c>
      <c r="B23" s="397" t="str">
        <f>'KV_1.1.sz.mell.'!B26</f>
        <v>Felhalmozási célú önkormányzati támogatások</v>
      </c>
      <c r="C23" s="211"/>
    </row>
    <row r="24" spans="1:3" s="59" customFormat="1" ht="12" customHeight="1">
      <c r="A24" s="444" t="str">
        <f>'KV_1.1.sz.mell.'!A27</f>
        <v>18</v>
      </c>
      <c r="B24" s="398" t="str">
        <f>'KV_1.1.sz.mell.'!B27</f>
        <v>Felhalmozási célú garancia- és kezességvállalásból megtérülések</v>
      </c>
      <c r="C24" s="210"/>
    </row>
    <row r="25" spans="1:3" s="60" customFormat="1" ht="12" customHeight="1">
      <c r="A25" s="444" t="str">
        <f>'KV_1.1.sz.mell.'!A28</f>
        <v>19</v>
      </c>
      <c r="B25" s="398" t="str">
        <f>'KV_1.1.sz.mell.'!B28</f>
        <v>Felhalmozási célú visszatérítendő támogatások, kölcsönök visszatérülése</v>
      </c>
      <c r="C25" s="210"/>
    </row>
    <row r="26" spans="1:3" s="60" customFormat="1" ht="12" customHeight="1">
      <c r="A26" s="444" t="str">
        <f>'KV_1.1.sz.mell.'!A29</f>
        <v>20</v>
      </c>
      <c r="B26" s="398" t="str">
        <f>'KV_1.1.sz.mell.'!B29</f>
        <v>Felhalmozási célú visszatérítendő támogatások, kölcsönök igénybevétele</v>
      </c>
      <c r="C26" s="210"/>
    </row>
    <row r="27" spans="1:3" s="60" customFormat="1" ht="12" customHeight="1">
      <c r="A27" s="444" t="str">
        <f>'KV_1.1.sz.mell.'!A30</f>
        <v>21</v>
      </c>
      <c r="B27" s="398" t="str">
        <f>'KV_1.1.sz.mell.'!B30</f>
        <v>Egyéb felhalmozási célú támogatások bevételei</v>
      </c>
      <c r="C27" s="210">
        <f>'KV_20.sz.mell'!C25</f>
        <v>54557620</v>
      </c>
    </row>
    <row r="28" spans="1:3" s="60" customFormat="1" ht="12" customHeight="1" thickBot="1">
      <c r="A28" s="444" t="str">
        <f>'KV_1.1.sz.mell.'!A31</f>
        <v>22</v>
      </c>
      <c r="B28" s="333" t="str">
        <f>'KV_1.1.sz.mell.'!B31</f>
        <v>   21-ből EU-s támogatás</v>
      </c>
      <c r="C28" s="210">
        <v>54557620</v>
      </c>
    </row>
    <row r="29" spans="1:3" s="60" customFormat="1" ht="12" customHeight="1" thickBot="1">
      <c r="A29" s="447">
        <f>'KV_1.1.sz.mell.'!A32</f>
        <v>23</v>
      </c>
      <c r="B29" s="396" t="str">
        <f>'KV_1.1.sz.mell.'!B32</f>
        <v>Közhatalmi bevételek (24+…+30)</v>
      </c>
      <c r="C29" s="214">
        <f>SUM(C30:C36)</f>
        <v>369000000</v>
      </c>
    </row>
    <row r="30" spans="1:3" s="60" customFormat="1" ht="12" customHeight="1">
      <c r="A30" s="444" t="str">
        <f>'KV_1.1.sz.mell.'!A33</f>
        <v>24</v>
      </c>
      <c r="B30" s="397" t="str">
        <f>'KV_1.1.sz.mell.'!B33</f>
        <v>Építményadó</v>
      </c>
      <c r="C30" s="211"/>
    </row>
    <row r="31" spans="1:3" s="60" customFormat="1" ht="12" customHeight="1">
      <c r="A31" s="444" t="str">
        <f>'KV_1.1.sz.mell.'!A34</f>
        <v>25</v>
      </c>
      <c r="B31" s="398" t="s">
        <v>768</v>
      </c>
      <c r="C31" s="210">
        <v>32000000</v>
      </c>
    </row>
    <row r="32" spans="1:3" s="60" customFormat="1" ht="12" customHeight="1">
      <c r="A32" s="444" t="str">
        <f>'KV_1.1.sz.mell.'!A35</f>
        <v>26</v>
      </c>
      <c r="B32" s="398" t="str">
        <f>'KV_1.1.sz.mell.'!B35</f>
        <v>Iparűzési adó</v>
      </c>
      <c r="C32" s="210">
        <v>335000000</v>
      </c>
    </row>
    <row r="33" spans="1:3" s="60" customFormat="1" ht="12" customHeight="1">
      <c r="A33" s="444" t="str">
        <f>'KV_1.1.sz.mell.'!A36</f>
        <v>27</v>
      </c>
      <c r="B33" s="398" t="str">
        <f>'KV_1.1.sz.mell.'!B36</f>
        <v>Talajterhelési díj </v>
      </c>
      <c r="C33" s="210">
        <v>500000</v>
      </c>
    </row>
    <row r="34" spans="1:3" s="60" customFormat="1" ht="12" customHeight="1">
      <c r="A34" s="444" t="str">
        <f>'KV_1.1.sz.mell.'!A37</f>
        <v>28</v>
      </c>
      <c r="B34" s="398" t="str">
        <f>'KV_1.1.sz.mell.'!B37</f>
        <v>Gépjárműadó</v>
      </c>
      <c r="C34" s="210"/>
    </row>
    <row r="35" spans="1:3" s="60" customFormat="1" ht="12" customHeight="1">
      <c r="A35" s="444" t="str">
        <f>'KV_1.1.sz.mell.'!A38</f>
        <v>29</v>
      </c>
      <c r="B35" s="398" t="str">
        <f>'KV_1.1.sz.mell.'!B38</f>
        <v>Telekadó</v>
      </c>
      <c r="C35" s="210"/>
    </row>
    <row r="36" spans="1:3" s="60" customFormat="1" ht="12" customHeight="1" thickBot="1">
      <c r="A36" s="444" t="str">
        <f>'KV_1.1.sz.mell.'!A39</f>
        <v>30</v>
      </c>
      <c r="B36" s="498" t="s">
        <v>807</v>
      </c>
      <c r="C36" s="212">
        <v>1500000</v>
      </c>
    </row>
    <row r="37" spans="1:3" s="60" customFormat="1" ht="12" customHeight="1" thickBot="1">
      <c r="A37" s="447">
        <f>'KV_1.1.sz.mell.'!A40</f>
        <v>31</v>
      </c>
      <c r="B37" s="396" t="str">
        <f>'KV_1.1.sz.mell.'!B40</f>
        <v>Működési bevételek (32+…+ 42)</v>
      </c>
      <c r="C37" s="208">
        <f>SUM(C38:C48)</f>
        <v>28221000</v>
      </c>
    </row>
    <row r="38" spans="1:3" s="60" customFormat="1" ht="12" customHeight="1">
      <c r="A38" s="444" t="str">
        <f>'KV_1.1.sz.mell.'!A41</f>
        <v>32</v>
      </c>
      <c r="B38" s="397" t="str">
        <f>'KV_1.1.sz.mell.'!B41</f>
        <v>Készletértékesítés ellenértéke</v>
      </c>
      <c r="C38" s="211"/>
    </row>
    <row r="39" spans="1:4" s="60" customFormat="1" ht="12" customHeight="1">
      <c r="A39" s="444" t="str">
        <f>'KV_1.1.sz.mell.'!A42</f>
        <v>33</v>
      </c>
      <c r="B39" s="398" t="str">
        <f>'KV_1.1.sz.mell.'!B42</f>
        <v>Szolgáltatások ellenértéke</v>
      </c>
      <c r="C39" s="766"/>
      <c r="D39" s="765"/>
    </row>
    <row r="40" spans="1:3" s="60" customFormat="1" ht="12" customHeight="1">
      <c r="A40" s="444" t="str">
        <f>'KV_1.1.sz.mell.'!A43</f>
        <v>34</v>
      </c>
      <c r="B40" s="398" t="str">
        <f>'KV_1.1.sz.mell.'!B43</f>
        <v>Közvetített szolgáltatások értéke</v>
      </c>
      <c r="C40" s="210">
        <v>2931000</v>
      </c>
    </row>
    <row r="41" spans="1:3" s="60" customFormat="1" ht="12" customHeight="1">
      <c r="A41" s="444" t="str">
        <f>'KV_1.1.sz.mell.'!A44</f>
        <v>35</v>
      </c>
      <c r="B41" s="398" t="str">
        <f>'KV_1.1.sz.mell.'!B44</f>
        <v>Tulajdonosi bevételek</v>
      </c>
      <c r="C41" s="210">
        <v>20740000</v>
      </c>
    </row>
    <row r="42" spans="1:3" s="60" customFormat="1" ht="12" customHeight="1">
      <c r="A42" s="444" t="str">
        <f>'KV_1.1.sz.mell.'!A45</f>
        <v>36</v>
      </c>
      <c r="B42" s="398" t="str">
        <f>'KV_1.1.sz.mell.'!B45</f>
        <v>Ellátási díjak</v>
      </c>
      <c r="C42" s="210"/>
    </row>
    <row r="43" spans="1:3" s="60" customFormat="1" ht="12" customHeight="1">
      <c r="A43" s="444" t="str">
        <f>'KV_1.1.sz.mell.'!A46</f>
        <v>37</v>
      </c>
      <c r="B43" s="398" t="str">
        <f>'KV_1.1.sz.mell.'!B46</f>
        <v>Kiszámlázott általános forgalmi adó </v>
      </c>
      <c r="C43" s="210">
        <v>2800000</v>
      </c>
    </row>
    <row r="44" spans="1:3" s="60" customFormat="1" ht="12" customHeight="1">
      <c r="A44" s="444" t="str">
        <f>'KV_1.1.sz.mell.'!A47</f>
        <v>38</v>
      </c>
      <c r="B44" s="398" t="str">
        <f>'KV_1.1.sz.mell.'!B47</f>
        <v>Általános forgalmi adó visszatérítése</v>
      </c>
      <c r="C44" s="210">
        <v>1750000</v>
      </c>
    </row>
    <row r="45" spans="1:3" s="60" customFormat="1" ht="12" customHeight="1">
      <c r="A45" s="444" t="str">
        <f>'KV_1.1.sz.mell.'!A48</f>
        <v>39</v>
      </c>
      <c r="B45" s="398" t="str">
        <f>'KV_1.1.sz.mell.'!B48</f>
        <v>Kamatbevételek és más nyereségjellegű bevételek</v>
      </c>
      <c r="C45" s="210"/>
    </row>
    <row r="46" spans="1:3" s="60" customFormat="1" ht="12" customHeight="1">
      <c r="A46" s="444" t="str">
        <f>'KV_1.1.sz.mell.'!A49</f>
        <v>40</v>
      </c>
      <c r="B46" s="398" t="str">
        <f>'KV_1.1.sz.mell.'!B49</f>
        <v>Egyéb pénzügyi műveletek bevételei</v>
      </c>
      <c r="C46" s="213"/>
    </row>
    <row r="47" spans="1:3" s="60" customFormat="1" ht="12" customHeight="1">
      <c r="A47" s="444" t="str">
        <f>'KV_1.1.sz.mell.'!A50</f>
        <v>41</v>
      </c>
      <c r="B47" s="333" t="str">
        <f>'KV_1.1.sz.mell.'!B50</f>
        <v>Biztosító által fizetett kártérítés</v>
      </c>
      <c r="C47" s="261"/>
    </row>
    <row r="48" spans="1:3" s="60" customFormat="1" ht="12" customHeight="1" thickBot="1">
      <c r="A48" s="444" t="str">
        <f>'KV_1.1.sz.mell.'!A51</f>
        <v>42</v>
      </c>
      <c r="B48" s="333" t="str">
        <f>'KV_1.1.sz.mell.'!B51</f>
        <v>Egyéb működési bevételek</v>
      </c>
      <c r="C48" s="261"/>
    </row>
    <row r="49" spans="1:3" s="60" customFormat="1" ht="12" customHeight="1" thickBot="1">
      <c r="A49" s="447">
        <f>'KV_1.1.sz.mell.'!A52</f>
        <v>43</v>
      </c>
      <c r="B49" s="396" t="str">
        <f>'KV_1.1.sz.mell.'!B52</f>
        <v>Felhalmozási bevételek (44+…+48)</v>
      </c>
      <c r="C49" s="208">
        <f>SUM(C50:C54)</f>
        <v>69000000</v>
      </c>
    </row>
    <row r="50" spans="1:3" s="60" customFormat="1" ht="12" customHeight="1">
      <c r="A50" s="444" t="str">
        <f>'KV_1.1.sz.mell.'!A53</f>
        <v>44</v>
      </c>
      <c r="B50" s="397" t="str">
        <f>'KV_1.1.sz.mell.'!B53</f>
        <v>Immateriális javak értékesítése</v>
      </c>
      <c r="C50" s="281"/>
    </row>
    <row r="51" spans="1:3" s="60" customFormat="1" ht="12" customHeight="1">
      <c r="A51" s="444" t="str">
        <f>'KV_1.1.sz.mell.'!A54</f>
        <v>45</v>
      </c>
      <c r="B51" s="398" t="str">
        <f>'KV_1.1.sz.mell.'!B54</f>
        <v>Ingatlanok értékesítése</v>
      </c>
      <c r="C51" s="213">
        <v>69000000</v>
      </c>
    </row>
    <row r="52" spans="1:3" s="60" customFormat="1" ht="12" customHeight="1">
      <c r="A52" s="444" t="str">
        <f>'KV_1.1.sz.mell.'!A55</f>
        <v>46</v>
      </c>
      <c r="B52" s="398" t="str">
        <f>'KV_1.1.sz.mell.'!B55</f>
        <v>Egyéb tárgyi eszközök értékesítése</v>
      </c>
      <c r="C52" s="213"/>
    </row>
    <row r="53" spans="1:3" s="60" customFormat="1" ht="12" customHeight="1">
      <c r="A53" s="444" t="str">
        <f>'KV_1.1.sz.mell.'!A56</f>
        <v>47</v>
      </c>
      <c r="B53" s="398" t="str">
        <f>'KV_1.1.sz.mell.'!B56</f>
        <v>Részesedések értékesítése</v>
      </c>
      <c r="C53" s="213"/>
    </row>
    <row r="54" spans="1:3" s="60" customFormat="1" ht="12" customHeight="1" thickBot="1">
      <c r="A54" s="444" t="str">
        <f>'KV_1.1.sz.mell.'!A57</f>
        <v>48</v>
      </c>
      <c r="B54" s="333" t="str">
        <f>'KV_1.1.sz.mell.'!B57</f>
        <v>Részesedések megszűnéséhez kapcsolódó bevételek</v>
      </c>
      <c r="C54" s="261"/>
    </row>
    <row r="55" spans="1:3" s="60" customFormat="1" ht="12" customHeight="1" thickBot="1">
      <c r="A55" s="447">
        <f>'KV_1.1.sz.mell.'!A58</f>
        <v>49</v>
      </c>
      <c r="B55" s="396" t="str">
        <f>'KV_1.1.sz.mell.'!B58</f>
        <v>Működési célú átvett pénzeszközök (50+ … + 52)</v>
      </c>
      <c r="C55" s="208">
        <f>SUM(C56:C58)</f>
        <v>0</v>
      </c>
    </row>
    <row r="56" spans="1:3" s="60" customFormat="1" ht="12" customHeight="1">
      <c r="A56" s="444" t="str">
        <f>'KV_1.1.sz.mell.'!A59</f>
        <v>50</v>
      </c>
      <c r="B56" s="397" t="str">
        <f>'KV_1.1.sz.mell.'!B59</f>
        <v>Működési célú garancia- és kezességvállalásból megtérülések ÁH-n kívülről</v>
      </c>
      <c r="C56" s="211"/>
    </row>
    <row r="57" spans="1:3" s="60" customFormat="1" ht="12" customHeight="1">
      <c r="A57" s="444" t="str">
        <f>'KV_1.1.sz.mell.'!A60</f>
        <v>51</v>
      </c>
      <c r="B57" s="398" t="str">
        <f>'KV_1.1.sz.mell.'!B60</f>
        <v>Működési célú visszatérítendő támogatások, kölcsönök visszatér. ÁH-n kívülről</v>
      </c>
      <c r="C57" s="210"/>
    </row>
    <row r="58" spans="1:3" s="60" customFormat="1" ht="12" customHeight="1">
      <c r="A58" s="444" t="str">
        <f>'KV_1.1.sz.mell.'!A61</f>
        <v>52</v>
      </c>
      <c r="B58" s="398" t="str">
        <f>'KV_1.1.sz.mell.'!B61</f>
        <v>Egyéb működési célú átvett pénzeszköz</v>
      </c>
      <c r="C58" s="210"/>
    </row>
    <row r="59" spans="1:3" s="60" customFormat="1" ht="12" customHeight="1" thickBot="1">
      <c r="A59" s="444" t="str">
        <f>'KV_1.1.sz.mell.'!A62</f>
        <v>53</v>
      </c>
      <c r="B59" s="333" t="str">
        <f>'KV_1.1.sz.mell.'!B62</f>
        <v>  52-ből EU-s támogatás (közvetlen)</v>
      </c>
      <c r="C59" s="212"/>
    </row>
    <row r="60" spans="1:3" s="60" customFormat="1" ht="12" customHeight="1" thickBot="1">
      <c r="A60" s="447">
        <f>'KV_1.1.sz.mell.'!A63</f>
        <v>54</v>
      </c>
      <c r="B60" s="399" t="str">
        <f>'KV_1.1.sz.mell.'!B63</f>
        <v>Felhalmozási célú átvett pénzeszközök (55+…+57)</v>
      </c>
      <c r="C60" s="208">
        <f>SUM(C61:C63)</f>
        <v>0</v>
      </c>
    </row>
    <row r="61" spans="1:3" s="60" customFormat="1" ht="12" customHeight="1">
      <c r="A61" s="444" t="str">
        <f>'KV_1.1.sz.mell.'!A64</f>
        <v>55</v>
      </c>
      <c r="B61" s="397" t="str">
        <f>'KV_1.1.sz.mell.'!B64</f>
        <v>Felhalm. célú garancia- és kezességvállalásból megtérülések ÁH-n kívülről</v>
      </c>
      <c r="C61" s="213"/>
    </row>
    <row r="62" spans="1:3" s="60" customFormat="1" ht="12" customHeight="1">
      <c r="A62" s="444" t="str">
        <f>'KV_1.1.sz.mell.'!A65</f>
        <v>56</v>
      </c>
      <c r="B62" s="398" t="str">
        <f>'KV_1.1.sz.mell.'!B65</f>
        <v>Felhalm. célú visszatérítendő támogatások, kölcsönök visszatér. ÁH-n kívülről</v>
      </c>
      <c r="C62" s="213"/>
    </row>
    <row r="63" spans="1:3" s="60" customFormat="1" ht="12" customHeight="1">
      <c r="A63" s="444" t="str">
        <f>'KV_1.1.sz.mell.'!A66</f>
        <v>57</v>
      </c>
      <c r="B63" s="398" t="str">
        <f>'KV_1.1.sz.mell.'!B66</f>
        <v>Egyéb felhalmozási célú átvett pénzeszköz</v>
      </c>
      <c r="C63" s="213"/>
    </row>
    <row r="64" spans="1:3" s="60" customFormat="1" ht="12" customHeight="1" thickBot="1">
      <c r="A64" s="444" t="str">
        <f>'KV_1.1.sz.mell.'!A67</f>
        <v>58</v>
      </c>
      <c r="B64" s="333" t="str">
        <f>'KV_1.1.sz.mell.'!B67</f>
        <v>  57-ből EU-s támogatás (közvetlen)</v>
      </c>
      <c r="C64" s="213"/>
    </row>
    <row r="65" spans="1:3" s="60" customFormat="1" ht="12" customHeight="1" thickBot="1">
      <c r="A65" s="447">
        <f>'KV_1.1.sz.mell.'!A68</f>
        <v>59</v>
      </c>
      <c r="B65" s="396" t="str">
        <f>'KV_1.1.sz.mell.'!B68</f>
        <v>KÖLTSÉGVETÉSI BEVÉTELEK ÖSSZESEN: (1+16+23+31+43+49+54)</v>
      </c>
      <c r="C65" s="214">
        <f>+C7+C22+C29+C37+C49+C55+C60</f>
        <v>1295721866</v>
      </c>
    </row>
    <row r="66" spans="1:3" s="60" customFormat="1" ht="12" customHeight="1" thickBot="1">
      <c r="A66" s="448">
        <f>'KV_1.1.sz.mell.'!A69</f>
        <v>60</v>
      </c>
      <c r="B66" s="399" t="str">
        <f>'KV_1.1.sz.mell.'!B69</f>
        <v>Hitel-, kölcsönfelvétel államháztartáson kívülről  (61+…+63)</v>
      </c>
      <c r="C66" s="208">
        <f>SUM(C67:C69)</f>
        <v>0</v>
      </c>
    </row>
    <row r="67" spans="1:3" s="60" customFormat="1" ht="12" customHeight="1">
      <c r="A67" s="444" t="str">
        <f>'KV_1.1.sz.mell.'!A70</f>
        <v>61</v>
      </c>
      <c r="B67" s="397" t="str">
        <f>'KV_1.1.sz.mell.'!B70</f>
        <v>Hosszú lejáratú  hitelek, kölcsönök felvétele</v>
      </c>
      <c r="C67" s="213"/>
    </row>
    <row r="68" spans="1:3" s="60" customFormat="1" ht="12" customHeight="1">
      <c r="A68" s="444" t="str">
        <f>'KV_1.1.sz.mell.'!A71</f>
        <v>62</v>
      </c>
      <c r="B68" s="398" t="str">
        <f>'KV_1.1.sz.mell.'!B71</f>
        <v>Likviditási célú  hitelek, kölcsönök felvétele pénzügyi vállalkozástól</v>
      </c>
      <c r="C68" s="213"/>
    </row>
    <row r="69" spans="1:3" s="60" customFormat="1" ht="12" customHeight="1" thickBot="1">
      <c r="A69" s="444" t="str">
        <f>'KV_1.1.sz.mell.'!A72</f>
        <v>63</v>
      </c>
      <c r="B69" s="296" t="str">
        <f>'KV_1.1.sz.mell.'!B72</f>
        <v>Rövid lejáratú  hitelek, kölcsönök felvétele pénzügyi vállalkozástól</v>
      </c>
      <c r="C69" s="213"/>
    </row>
    <row r="70" spans="1:3" s="60" customFormat="1" ht="12" customHeight="1" thickBot="1">
      <c r="A70" s="448">
        <f>'KV_1.1.sz.mell.'!A73</f>
        <v>64</v>
      </c>
      <c r="B70" s="399" t="str">
        <f>'KV_1.1.sz.mell.'!B73</f>
        <v>Belföldi értékpapírok bevételei (65 +…+ 68)</v>
      </c>
      <c r="C70" s="208">
        <f>SUM(C71:C74)</f>
        <v>0</v>
      </c>
    </row>
    <row r="71" spans="1:3" s="60" customFormat="1" ht="12" customHeight="1">
      <c r="A71" s="444" t="str">
        <f>'KV_1.1.sz.mell.'!A74</f>
        <v>65</v>
      </c>
      <c r="B71" s="397" t="str">
        <f>'KV_1.1.sz.mell.'!B74</f>
        <v>Forgatási célú belföldi értékpapírok beváltása,  értékesítése</v>
      </c>
      <c r="C71" s="213"/>
    </row>
    <row r="72" spans="1:3" s="60" customFormat="1" ht="12" customHeight="1">
      <c r="A72" s="444" t="str">
        <f>'KV_1.1.sz.mell.'!A75</f>
        <v>66</v>
      </c>
      <c r="B72" s="398" t="str">
        <f>'KV_1.1.sz.mell.'!B75</f>
        <v>Éven belüli lejáratú belföldi értékpapírok kibocsátása</v>
      </c>
      <c r="C72" s="213"/>
    </row>
    <row r="73" spans="1:3" s="60" customFormat="1" ht="12" customHeight="1">
      <c r="A73" s="444" t="str">
        <f>'KV_1.1.sz.mell.'!A76</f>
        <v>67</v>
      </c>
      <c r="B73" s="333" t="str">
        <f>'KV_1.1.sz.mell.'!B76</f>
        <v>Befektetési célú belföldi értékpapírok beváltása,  értékesítése</v>
      </c>
      <c r="C73" s="261"/>
    </row>
    <row r="74" spans="1:3" s="60" customFormat="1" ht="12" customHeight="1" thickBot="1">
      <c r="A74" s="444" t="str">
        <f>'KV_1.1.sz.mell.'!A77</f>
        <v>68</v>
      </c>
      <c r="B74" s="499" t="str">
        <f>'KV_1.1.sz.mell.'!B77</f>
        <v>Éven túli lejáratú belföldi értékpapírok kibocsátása</v>
      </c>
      <c r="C74" s="339"/>
    </row>
    <row r="75" spans="1:3" s="60" customFormat="1" ht="12" customHeight="1" thickBot="1">
      <c r="A75" s="448">
        <f>'KV_1.1.sz.mell.'!A78</f>
        <v>69</v>
      </c>
      <c r="B75" s="399" t="str">
        <f>'KV_1.1.sz.mell.'!B78</f>
        <v>Maradvány igénybevétele (70 + 71)</v>
      </c>
      <c r="C75" s="208">
        <f>SUM(C76:C77)</f>
        <v>230315600</v>
      </c>
    </row>
    <row r="76" spans="1:4" s="60" customFormat="1" ht="12" customHeight="1">
      <c r="A76" s="444" t="str">
        <f>'KV_1.1.sz.mell.'!A79</f>
        <v>70</v>
      </c>
      <c r="B76" s="500" t="str">
        <f>'KV_1.1.sz.mell.'!B79</f>
        <v>Előző év költségvetési maradványának igénybevétele</v>
      </c>
      <c r="C76" s="764">
        <v>230315600</v>
      </c>
      <c r="D76" s="765"/>
    </row>
    <row r="77" spans="1:3" s="60" customFormat="1" ht="12" customHeight="1" thickBot="1">
      <c r="A77" s="444" t="str">
        <f>'KV_1.1.sz.mell.'!A80</f>
        <v>71</v>
      </c>
      <c r="B77" s="499" t="str">
        <f>'KV_1.1.sz.mell.'!B80</f>
        <v>Előző év vállalkozási maradványának igénybevétele</v>
      </c>
      <c r="C77" s="339"/>
    </row>
    <row r="78" spans="1:3" s="59" customFormat="1" ht="12" customHeight="1" thickBot="1">
      <c r="A78" s="448">
        <f>'KV_1.1.sz.mell.'!A81</f>
        <v>72</v>
      </c>
      <c r="B78" s="399" t="str">
        <f>'KV_1.1.sz.mell.'!B81</f>
        <v>Belföldi finanszírozás bevételei (73 + … + 75)</v>
      </c>
      <c r="C78" s="208">
        <f>SUM(C79:C81)</f>
        <v>0</v>
      </c>
    </row>
    <row r="79" spans="1:3" s="60" customFormat="1" ht="12" customHeight="1">
      <c r="A79" s="444" t="str">
        <f>'KV_1.1.sz.mell.'!A82</f>
        <v>73</v>
      </c>
      <c r="B79" s="397" t="str">
        <f>'KV_1.1.sz.mell.'!B82</f>
        <v>Államháztartáson belüli megelőlegezések</v>
      </c>
      <c r="C79" s="213"/>
    </row>
    <row r="80" spans="1:3" s="60" customFormat="1" ht="12" customHeight="1">
      <c r="A80" s="444" t="str">
        <f>'KV_1.1.sz.mell.'!A83</f>
        <v>74</v>
      </c>
      <c r="B80" s="398" t="str">
        <f>'KV_1.1.sz.mell.'!B83</f>
        <v>Államháztartáson belüli megelőlegezések törlesztése</v>
      </c>
      <c r="C80" s="213"/>
    </row>
    <row r="81" spans="1:3" s="60" customFormat="1" ht="12" customHeight="1" thickBot="1">
      <c r="A81" s="445" t="str">
        <f>'KV_1.1.sz.mell.'!A84</f>
        <v>75</v>
      </c>
      <c r="B81" s="499" t="str">
        <f>'KV_1.1.sz.mell.'!B84</f>
        <v>Lekötött betétek megszüntetése</v>
      </c>
      <c r="C81" s="339"/>
    </row>
    <row r="82" spans="1:3" s="60" customFormat="1" ht="12" customHeight="1" thickBot="1">
      <c r="A82" s="449" t="str">
        <f>'KV_1.1.sz.mell.'!A85</f>
        <v>76</v>
      </c>
      <c r="B82" s="399" t="str">
        <f>'KV_1.1.sz.mell.'!B85</f>
        <v>Külföldi finanszírozás bevételei (77+…+80)</v>
      </c>
      <c r="C82" s="208">
        <f>SUM(C83:C86)</f>
        <v>0</v>
      </c>
    </row>
    <row r="83" spans="1:3" s="60" customFormat="1" ht="12" customHeight="1">
      <c r="A83" s="444" t="str">
        <f>'KV_1.1.sz.mell.'!A86</f>
        <v>77</v>
      </c>
      <c r="B83" s="397" t="str">
        <f>'KV_1.1.sz.mell.'!B86</f>
        <v>Forgatási célú külföldi értékpapírok beváltása,  értékesítése</v>
      </c>
      <c r="C83" s="213"/>
    </row>
    <row r="84" spans="1:3" s="60" customFormat="1" ht="12" customHeight="1">
      <c r="A84" s="444" t="str">
        <f>'KV_1.1.sz.mell.'!A87</f>
        <v>78</v>
      </c>
      <c r="B84" s="398" t="str">
        <f>'KV_1.1.sz.mell.'!B87</f>
        <v>Befektetési célú külföldi értékpapírok beváltása,  értékesítése</v>
      </c>
      <c r="C84" s="213"/>
    </row>
    <row r="85" spans="1:3" s="60" customFormat="1" ht="12" customHeight="1">
      <c r="A85" s="444" t="str">
        <f>'KV_1.1.sz.mell.'!A88</f>
        <v>79</v>
      </c>
      <c r="B85" s="398" t="str">
        <f>'KV_1.1.sz.mell.'!B88</f>
        <v>Külföldi értékpapírok kibocsátása</v>
      </c>
      <c r="C85" s="213"/>
    </row>
    <row r="86" spans="1:3" s="59" customFormat="1" ht="12" customHeight="1" thickBot="1">
      <c r="A86" s="445" t="str">
        <f>'KV_1.1.sz.mell.'!A89</f>
        <v>80</v>
      </c>
      <c r="B86" s="333" t="str">
        <f>'KV_1.1.sz.mell.'!B89</f>
        <v>Külföldi hitelek, kölcsönök felvétele</v>
      </c>
      <c r="C86" s="213"/>
    </row>
    <row r="87" spans="1:3" s="59" customFormat="1" ht="12" customHeight="1" thickBot="1">
      <c r="A87" s="449" t="str">
        <f>'KV_1.1.sz.mell.'!A90</f>
        <v>81</v>
      </c>
      <c r="B87" s="399" t="str">
        <f>'KV_1.1.sz.mell.'!B90</f>
        <v>Váltóbevételek</v>
      </c>
      <c r="C87" s="282"/>
    </row>
    <row r="88" spans="1:3" s="59" customFormat="1" ht="12" customHeight="1" thickBot="1">
      <c r="A88" s="450" t="str">
        <f>'KV_1.1.sz.mell.'!A91</f>
        <v>82</v>
      </c>
      <c r="B88" s="399" t="str">
        <f>'KV_1.1.sz.mell.'!B91</f>
        <v>Adóssághoz nem kapcsolódó származékos ügyletek bevételei</v>
      </c>
      <c r="C88" s="282"/>
    </row>
    <row r="89" spans="1:3" s="59" customFormat="1" ht="12" customHeight="1" thickBot="1">
      <c r="A89" s="449" t="str">
        <f>'KV_1.1.sz.mell.'!A92</f>
        <v>83</v>
      </c>
      <c r="B89" s="400" t="str">
        <f>'KV_1.1.sz.mell.'!B92</f>
        <v>FINANSZÍROZÁSI BEVÉTELEK ÖSSZESEN: (60 + 64+69+72+76+81+82)</v>
      </c>
      <c r="C89" s="214">
        <f>+C66+C70+C75+C78+C82+C87+C88</f>
        <v>230315600</v>
      </c>
    </row>
    <row r="90" spans="1:3" s="59" customFormat="1" ht="12" customHeight="1" thickBot="1">
      <c r="A90" s="460" t="str">
        <f>'KV_1.1.sz.mell.'!A93</f>
        <v>84</v>
      </c>
      <c r="B90" s="401" t="str">
        <f>'KV_1.1.sz.mell.'!B93</f>
        <v>KÖLTSÉGVETÉSI ÉS FINANSZÍROZÁSI BEVÉTELEK ÖSSZESEN: (59+83)</v>
      </c>
      <c r="C90" s="214">
        <f>+C65+C89</f>
        <v>1526037466</v>
      </c>
    </row>
    <row r="91" spans="1:3" s="59" customFormat="1" ht="12" customHeight="1" thickBot="1">
      <c r="A91" s="900"/>
      <c r="B91" s="901"/>
      <c r="C91" s="901"/>
    </row>
    <row r="92" spans="1:3" s="59" customFormat="1" ht="30.75" customHeight="1">
      <c r="A92" s="895" t="str">
        <f>A2</f>
        <v>Bátaszék Város Önkormányzata</v>
      </c>
      <c r="B92" s="896"/>
      <c r="C92" s="357" t="s">
        <v>51</v>
      </c>
    </row>
    <row r="93" spans="1:3" s="59" customFormat="1" ht="18.75" customHeight="1" thickBot="1">
      <c r="A93" s="897" t="str">
        <f>A3</f>
        <v>Összes bevétel, kiadás</v>
      </c>
      <c r="B93" s="898"/>
      <c r="C93" s="358" t="s">
        <v>51</v>
      </c>
    </row>
    <row r="94" spans="1:3" s="59" customFormat="1" ht="18" customHeight="1" thickBot="1">
      <c r="A94" s="899"/>
      <c r="B94" s="899"/>
      <c r="C94" s="574" t="str">
        <f>C4</f>
        <v>Forintban!</v>
      </c>
    </row>
    <row r="95" spans="1:3" s="59" customFormat="1" ht="24" customHeight="1" thickBot="1">
      <c r="A95" s="572" t="str">
        <f>'KV_1.1.sz.mell.'!A97</f>
        <v>Sor-
szám</v>
      </c>
      <c r="B95" s="393" t="str">
        <f>'KV_1.1.sz.mell.'!B97</f>
        <v>Kiadási jogcímek</v>
      </c>
      <c r="C95" s="463" t="str">
        <f>C5</f>
        <v>2023. évi előirányzat</v>
      </c>
    </row>
    <row r="96" spans="1:3" s="59" customFormat="1" ht="12" customHeight="1" thickBot="1">
      <c r="A96" s="572"/>
      <c r="B96" s="361" t="str">
        <f>'KV_1.1.sz.mell.'!B98</f>
        <v>A</v>
      </c>
      <c r="C96" s="362" t="str">
        <f>'KV_1.1.sz.mell.'!C98</f>
        <v>B</v>
      </c>
    </row>
    <row r="97" spans="1:3" s="61" customFormat="1" ht="12" customHeight="1" thickBot="1">
      <c r="A97" s="449">
        <f>'KV_1.1.sz.mell.'!A99</f>
        <v>1</v>
      </c>
      <c r="B97" s="13" t="str">
        <f>'KV_1.1.sz.mell.'!B99</f>
        <v>   Működési költségvetés kiadásai (2+…+6)</v>
      </c>
      <c r="C97" s="207">
        <f>C98+C99+C100+C101+C102</f>
        <v>1109127116</v>
      </c>
    </row>
    <row r="98" spans="1:3" ht="12" customHeight="1">
      <c r="A98" s="446" t="str">
        <f>'KV_1.1.sz.mell.'!A100</f>
        <v>2</v>
      </c>
      <c r="B98" s="504" t="str">
        <f>'KV_1.1.sz.mell.'!B100</f>
        <v>Személyi  juttatások</v>
      </c>
      <c r="C98" s="209">
        <v>26180000</v>
      </c>
    </row>
    <row r="99" spans="1:3" ht="12" customHeight="1">
      <c r="A99" s="444" t="str">
        <f>'KV_1.1.sz.mell.'!A101</f>
        <v>3</v>
      </c>
      <c r="B99" s="403" t="str">
        <f>'KV_1.1.sz.mell.'!B101</f>
        <v>Munkaadókat terhelő járulékok és szociális hozzájárulási adó</v>
      </c>
      <c r="C99" s="210">
        <v>3900000</v>
      </c>
    </row>
    <row r="100" spans="1:3" ht="12" customHeight="1">
      <c r="A100" s="444" t="str">
        <f>'KV_1.1.sz.mell.'!A102</f>
        <v>4</v>
      </c>
      <c r="B100" s="403" t="str">
        <f>'KV_1.1.sz.mell.'!B102</f>
        <v>Dologi  kiadások</v>
      </c>
      <c r="C100" s="212">
        <v>167776845</v>
      </c>
    </row>
    <row r="101" spans="1:3" ht="12" customHeight="1">
      <c r="A101" s="444" t="str">
        <f>'KV_1.1.sz.mell.'!A103</f>
        <v>5</v>
      </c>
      <c r="B101" s="404" t="str">
        <f>'KV_1.1.sz.mell.'!B103</f>
        <v>Ellátottak pénzbeli juttatásai</v>
      </c>
      <c r="C101" s="212">
        <v>17960000</v>
      </c>
    </row>
    <row r="102" spans="1:3" ht="12" customHeight="1">
      <c r="A102" s="444" t="str">
        <f>'KV_1.1.sz.mell.'!A104</f>
        <v>6</v>
      </c>
      <c r="B102" s="404" t="str">
        <f>'KV_1.1.sz.mell.'!B104</f>
        <v>Egyéb működési célú kiadások</v>
      </c>
      <c r="C102" s="212">
        <f>SUM(C103:C115)</f>
        <v>893310271</v>
      </c>
    </row>
    <row r="103" spans="1:3" ht="12" customHeight="1">
      <c r="A103" s="444" t="str">
        <f>'KV_1.1.sz.mell.'!A105</f>
        <v>7</v>
      </c>
      <c r="B103" s="403" t="str">
        <f>'KV_1.1.sz.mell.'!B105</f>
        <v>   - a 6-ból:       - Előző évi elszámolásból származó befizetések</v>
      </c>
      <c r="C103" s="212"/>
    </row>
    <row r="104" spans="1:3" ht="12" customHeight="1">
      <c r="A104" s="444" t="str">
        <f>'KV_1.1.sz.mell.'!A106</f>
        <v>8</v>
      </c>
      <c r="B104" s="527" t="str">
        <f>'KV_1.1.sz.mell.'!B106</f>
        <v>   - Törvényi előíráson alapuló befizetések</v>
      </c>
      <c r="C104" s="212">
        <v>23951645</v>
      </c>
    </row>
    <row r="105" spans="1:3" ht="12" customHeight="1">
      <c r="A105" s="444" t="str">
        <f>'KV_1.1.sz.mell.'!A107</f>
        <v>9</v>
      </c>
      <c r="B105" s="527" t="str">
        <f>'KV_1.1.sz.mell.'!B107</f>
        <v>   - Egyéb elvonások, befizetések</v>
      </c>
      <c r="C105" s="212"/>
    </row>
    <row r="106" spans="1:3" ht="12" customHeight="1">
      <c r="A106" s="444" t="str">
        <f>'KV_1.1.sz.mell.'!A108</f>
        <v>10</v>
      </c>
      <c r="B106" s="575" t="str">
        <f>'KV_1.1.sz.mell.'!B108</f>
        <v>   - Garancia- és kezességvállalásból kifizetés ÁH-n belülre</v>
      </c>
      <c r="C106" s="212"/>
    </row>
    <row r="107" spans="1:3" ht="12" customHeight="1">
      <c r="A107" s="444" t="str">
        <f>'KV_1.1.sz.mell.'!A109</f>
        <v>11</v>
      </c>
      <c r="B107" s="527" t="str">
        <f>'KV_1.1.sz.mell.'!B109</f>
        <v>   -Visszatérítendő támogatások, kölcsönök nyújtása ÁH-n belülre</v>
      </c>
      <c r="C107" s="212"/>
    </row>
    <row r="108" spans="1:3" ht="12" customHeight="1">
      <c r="A108" s="444" t="str">
        <f>'KV_1.1.sz.mell.'!A110</f>
        <v>12</v>
      </c>
      <c r="B108" s="527" t="str">
        <f>'KV_1.1.sz.mell.'!B110</f>
        <v>   - Visszatérítendő támogatások, kölcsönök törlesztése ÁH-n belülre</v>
      </c>
      <c r="C108" s="212"/>
    </row>
    <row r="109" spans="1:3" ht="12" customHeight="1">
      <c r="A109" s="444" t="str">
        <f>'KV_1.1.sz.mell.'!A111</f>
        <v>13</v>
      </c>
      <c r="B109" s="575" t="str">
        <f>'KV_1.1.sz.mell.'!B111</f>
        <v>   - Egyéb működési célú támogatások ÁH-n belülre</v>
      </c>
      <c r="C109" s="212">
        <v>594489153</v>
      </c>
    </row>
    <row r="110" spans="1:3" ht="12" customHeight="1">
      <c r="A110" s="444" t="str">
        <f>'KV_1.1.sz.mell.'!A112</f>
        <v>14</v>
      </c>
      <c r="B110" s="575" t="str">
        <f>'KV_1.1.sz.mell.'!B112</f>
        <v>   - Garancia és kezességvállalásból kifizetés ÁH-n kívülre</v>
      </c>
      <c r="C110" s="212"/>
    </row>
    <row r="111" spans="1:3" ht="12" customHeight="1">
      <c r="A111" s="444" t="str">
        <f>'KV_1.1.sz.mell.'!A113</f>
        <v>15</v>
      </c>
      <c r="B111" s="527" t="str">
        <f>'KV_1.1.sz.mell.'!B113</f>
        <v>   - Visszatérítendő támogatások, kölcsönök nyújtása ÁH-n kívülre</v>
      </c>
      <c r="C111" s="212"/>
    </row>
    <row r="112" spans="1:3" ht="12" customHeight="1">
      <c r="A112" s="444" t="str">
        <f>'KV_1.1.sz.mell.'!A114</f>
        <v>16</v>
      </c>
      <c r="B112" s="527" t="str">
        <f>'KV_1.1.sz.mell.'!B114</f>
        <v>   - Árkiegészítések, ártámogatások</v>
      </c>
      <c r="C112" s="212"/>
    </row>
    <row r="113" spans="1:3" ht="12" customHeight="1">
      <c r="A113" s="444" t="str">
        <f>'KV_1.1.sz.mell.'!A115</f>
        <v>17</v>
      </c>
      <c r="B113" s="527" t="str">
        <f>'KV_1.1.sz.mell.'!B115</f>
        <v>   - Kamattámogatások</v>
      </c>
      <c r="C113" s="212"/>
    </row>
    <row r="114" spans="1:3" ht="12" customHeight="1">
      <c r="A114" s="444" t="str">
        <f>'KV_1.1.sz.mell.'!A116</f>
        <v>18</v>
      </c>
      <c r="B114" s="527" t="str">
        <f>'KV_1.1.sz.mell.'!B116</f>
        <v>   - Egyéb működési célú támogatások államháztartáson kívülre</v>
      </c>
      <c r="C114" s="212">
        <f>'KV_12.sz.mell'!C35</f>
        <v>237644000</v>
      </c>
    </row>
    <row r="115" spans="1:3" ht="12" customHeight="1">
      <c r="A115" s="444" t="str">
        <f>'KV_1.1.sz.mell.'!A117</f>
        <v>19</v>
      </c>
      <c r="B115" s="527" t="str">
        <f>'KV_1.1.sz.mell.'!B117</f>
        <v>   - Tartalékok</v>
      </c>
      <c r="C115" s="210">
        <f>C116+C117</f>
        <v>37225473</v>
      </c>
    </row>
    <row r="116" spans="1:3" ht="12" customHeight="1">
      <c r="A116" s="444" t="str">
        <f>'KV_1.1.sz.mell.'!A118</f>
        <v>20</v>
      </c>
      <c r="B116" s="406" t="str">
        <f>'KV_1.1.sz.mell.'!B118</f>
        <v>         - a 19-ből:             - Általános tartalék</v>
      </c>
      <c r="C116" s="210">
        <v>10000000</v>
      </c>
    </row>
    <row r="117" spans="1:3" ht="12" customHeight="1" thickBot="1">
      <c r="A117" s="445" t="str">
        <f>'KV_1.1.sz.mell.'!A119</f>
        <v>21</v>
      </c>
      <c r="B117" s="456" t="str">
        <f>'KV_1.1.sz.mell.'!B119</f>
        <v>                                       - Céltartalék</v>
      </c>
      <c r="C117" s="216">
        <v>27225473</v>
      </c>
    </row>
    <row r="118" spans="1:3" ht="12" customHeight="1" thickBot="1">
      <c r="A118" s="449" t="str">
        <f>'KV_1.1.sz.mell.'!A120</f>
        <v>22</v>
      </c>
      <c r="B118" s="297" t="str">
        <f>'KV_1.1.sz.mell.'!B120</f>
        <v>   Felhalmozási költségvetés kiadásai (23+25+27)</v>
      </c>
      <c r="C118" s="298">
        <f>+C119+C121+C123</f>
        <v>164836879</v>
      </c>
    </row>
    <row r="119" spans="1:3" ht="12" customHeight="1">
      <c r="A119" s="444">
        <f>'KV_1.1.sz.mell.'!A121</f>
        <v>23</v>
      </c>
      <c r="B119" s="403" t="str">
        <f>'KV_1.1.sz.mell.'!B121</f>
        <v>Beruházások</v>
      </c>
      <c r="C119" s="211">
        <v>154920979</v>
      </c>
    </row>
    <row r="120" spans="1:3" ht="12" customHeight="1">
      <c r="A120" s="444" t="str">
        <f>'KV_1.1.sz.mell.'!A122</f>
        <v>24</v>
      </c>
      <c r="B120" s="405" t="str">
        <f>'KV_1.1.sz.mell.'!B122</f>
        <v>23-ból EU-s forrásból megvalósuló beruházás</v>
      </c>
      <c r="C120" s="211"/>
    </row>
    <row r="121" spans="1:3" ht="12" customHeight="1">
      <c r="A121" s="444" t="str">
        <f>'KV_1.1.sz.mell.'!A123</f>
        <v>25</v>
      </c>
      <c r="B121" s="405" t="str">
        <f>'KV_1.1.sz.mell.'!B123</f>
        <v>Felújítások</v>
      </c>
      <c r="C121" s="210">
        <f>'KV_7.sz.mell.'!E25</f>
        <v>9700000</v>
      </c>
    </row>
    <row r="122" spans="1:3" ht="12" customHeight="1">
      <c r="A122" s="444" t="str">
        <f>'KV_1.1.sz.mell.'!A124</f>
        <v>26</v>
      </c>
      <c r="B122" s="405" t="str">
        <f>'KV_1.1.sz.mell.'!B124</f>
        <v>25-ből EU-s forrásból megvalósuló felújítás</v>
      </c>
      <c r="C122" s="181"/>
    </row>
    <row r="123" spans="1:3" ht="12" customHeight="1">
      <c r="A123" s="444" t="str">
        <f>'KV_1.1.sz.mell.'!A125</f>
        <v>27</v>
      </c>
      <c r="B123" s="333" t="str">
        <f>'KV_1.1.sz.mell.'!B125</f>
        <v>Egyéb felhalmozási célú kiadások</v>
      </c>
      <c r="C123" s="181">
        <f>SUM(C124:C131)</f>
        <v>215900</v>
      </c>
    </row>
    <row r="124" spans="1:3" ht="12" customHeight="1">
      <c r="A124" s="444" t="str">
        <f>'KV_1.1.sz.mell.'!A126</f>
        <v>28</v>
      </c>
      <c r="B124" s="398" t="str">
        <f>'KV_1.1.sz.mell.'!B126</f>
        <v>27-ből           - Garancia- és kezességvállalásból kifizetés ÁH-n belülre</v>
      </c>
      <c r="C124" s="181"/>
    </row>
    <row r="125" spans="1:3" ht="12" customHeight="1">
      <c r="A125" s="444" t="str">
        <f>'KV_1.1.sz.mell.'!A127</f>
        <v>29</v>
      </c>
      <c r="B125" s="526" t="str">
        <f>'KV_1.1.sz.mell.'!B127</f>
        <v>   - Visszatérítendő támogatások, kölcsönök nyújtása ÁH-n belülre</v>
      </c>
      <c r="C125" s="181"/>
    </row>
    <row r="126" spans="1:3" ht="12" customHeight="1">
      <c r="A126" s="444" t="str">
        <f>'KV_1.1.sz.mell.'!A128</f>
        <v>30</v>
      </c>
      <c r="B126" s="527" t="str">
        <f>'KV_1.1.sz.mell.'!B128</f>
        <v>   - Visszatérítendő támogatások, kölcsönök törlesztése ÁH-n belülre</v>
      </c>
      <c r="C126" s="181"/>
    </row>
    <row r="127" spans="1:3" ht="12" customHeight="1">
      <c r="A127" s="444" t="str">
        <f>'KV_1.1.sz.mell.'!A129</f>
        <v>31</v>
      </c>
      <c r="B127" s="527" t="str">
        <f>'KV_1.1.sz.mell.'!B129</f>
        <v>   - Egyéb felhalmozási célú támogatások ÁH-n belülre</v>
      </c>
      <c r="C127" s="181"/>
    </row>
    <row r="128" spans="1:3" ht="12" customHeight="1">
      <c r="A128" s="444" t="str">
        <f>'KV_1.1.sz.mell.'!A130</f>
        <v>32</v>
      </c>
      <c r="B128" s="527" t="str">
        <f>'KV_1.1.sz.mell.'!B130</f>
        <v>   - Garancia- és kezességvállalásból kifizetés ÁH-n kívülre</v>
      </c>
      <c r="C128" s="181"/>
    </row>
    <row r="129" spans="1:3" ht="12" customHeight="1">
      <c r="A129" s="444" t="str">
        <f>'KV_1.1.sz.mell.'!A131</f>
        <v>33</v>
      </c>
      <c r="B129" s="527" t="str">
        <f>'KV_1.1.sz.mell.'!B131</f>
        <v>   - Visszatérítendő támogatások, kölcsönök nyújtása ÁH-n kívülre</v>
      </c>
      <c r="C129" s="181"/>
    </row>
    <row r="130" spans="1:3" ht="12" customHeight="1">
      <c r="A130" s="444" t="str">
        <f>'KV_1.1.sz.mell.'!A132</f>
        <v>34</v>
      </c>
      <c r="B130" s="527" t="str">
        <f>'KV_1.1.sz.mell.'!B132</f>
        <v>   - Lakástámogatás</v>
      </c>
      <c r="C130" s="181"/>
    </row>
    <row r="131" spans="1:3" ht="12" customHeight="1" thickBot="1">
      <c r="A131" s="444">
        <f>'KV_1.1.sz.mell.'!A133</f>
        <v>35</v>
      </c>
      <c r="B131" s="527" t="str">
        <f>'KV_1.1.sz.mell.'!B133</f>
        <v>   - Egyéb felhalmozási célú támogatások államháztartáson kívülre</v>
      </c>
      <c r="C131" s="183">
        <f>'KV_12.sz.mell'!C63</f>
        <v>215900</v>
      </c>
    </row>
    <row r="132" spans="1:3" ht="12" customHeight="1" thickBot="1">
      <c r="A132" s="449">
        <f>'KV_1.1.sz.mell.'!A134</f>
        <v>36</v>
      </c>
      <c r="B132" s="90" t="str">
        <f>'KV_1.1.sz.mell.'!B134</f>
        <v>KÖLTSÉGVETÉSI KIADÁSOK ÖSSZESEN (1+22)</v>
      </c>
      <c r="C132" s="208">
        <f>+C97+C118</f>
        <v>1273963995</v>
      </c>
    </row>
    <row r="133" spans="1:3" ht="12" customHeight="1" thickBot="1">
      <c r="A133" s="449">
        <f>'KV_1.1.sz.mell.'!A135</f>
        <v>37</v>
      </c>
      <c r="B133" s="90" t="str">
        <f>'KV_1.1.sz.mell.'!B135</f>
        <v>Hitel-, kölcsöntörlesztés államháztartáson kívülre (38+ … + 40)</v>
      </c>
      <c r="C133" s="208">
        <f>+C134+C135+C136</f>
        <v>0</v>
      </c>
    </row>
    <row r="134" spans="1:3" s="61" customFormat="1" ht="12" customHeight="1">
      <c r="A134" s="444">
        <f>'KV_1.1.sz.mell.'!A136</f>
        <v>38</v>
      </c>
      <c r="B134" s="405" t="str">
        <f>'KV_1.1.sz.mell.'!B136</f>
        <v>Hosszú lejáratú hitelek, kölcsönök törlesztése pénzügyi vállalkozásnak</v>
      </c>
      <c r="C134" s="181"/>
    </row>
    <row r="135" spans="1:3" ht="12" customHeight="1">
      <c r="A135" s="444" t="str">
        <f>'KV_1.1.sz.mell.'!A137</f>
        <v>39</v>
      </c>
      <c r="B135" s="405" t="str">
        <f>'KV_1.1.sz.mell.'!B137</f>
        <v>Likviditási célú hitelek, kölcsönök törlesztése pénzügyi vállalkozásnak</v>
      </c>
      <c r="C135" s="181"/>
    </row>
    <row r="136" spans="1:3" ht="12" customHeight="1" thickBot="1">
      <c r="A136" s="444" t="str">
        <f>'KV_1.1.sz.mell.'!A138</f>
        <v>40</v>
      </c>
      <c r="B136" s="405" t="str">
        <f>'KV_1.1.sz.mell.'!B138</f>
        <v>Rövid lejáratú hitelek, kölcsönök törlesztése pénzügyi vállalkozásnak</v>
      </c>
      <c r="C136" s="181"/>
    </row>
    <row r="137" spans="1:3" ht="12" customHeight="1" thickBot="1">
      <c r="A137" s="449">
        <f>'KV_1.1.sz.mell.'!A139</f>
        <v>41</v>
      </c>
      <c r="B137" s="90" t="str">
        <f>'KV_1.1.sz.mell.'!B139</f>
        <v>Belföldi értékpapírok kiadásai (42+ … + 47)</v>
      </c>
      <c r="C137" s="208">
        <f>SUM(C138:C143)</f>
        <v>0</v>
      </c>
    </row>
    <row r="138" spans="1:3" ht="12" customHeight="1">
      <c r="A138" s="444">
        <f>'KV_1.1.sz.mell.'!A140</f>
        <v>42</v>
      </c>
      <c r="B138" s="406" t="str">
        <f>'KV_1.1.sz.mell.'!B140</f>
        <v>Forgatási célú belföldi értékpapírok vásárlása</v>
      </c>
      <c r="C138" s="181"/>
    </row>
    <row r="139" spans="1:3" ht="12" customHeight="1">
      <c r="A139" s="444">
        <f>'KV_1.1.sz.mell.'!A141</f>
        <v>43</v>
      </c>
      <c r="B139" s="406" t="str">
        <f>'KV_1.1.sz.mell.'!B141</f>
        <v>Befektetési célú belföldi értékpapírok vásárlása</v>
      </c>
      <c r="C139" s="181"/>
    </row>
    <row r="140" spans="1:3" ht="12" customHeight="1">
      <c r="A140" s="444" t="str">
        <f>'KV_1.1.sz.mell.'!A142</f>
        <v>44</v>
      </c>
      <c r="B140" s="406" t="str">
        <f>'KV_1.1.sz.mell.'!B142</f>
        <v>Kincstárjegyek beváltása</v>
      </c>
      <c r="C140" s="181"/>
    </row>
    <row r="141" spans="1:3" ht="12" customHeight="1">
      <c r="A141" s="444" t="str">
        <f>'KV_1.1.sz.mell.'!A143</f>
        <v>45</v>
      </c>
      <c r="B141" s="406" t="str">
        <f>'KV_1.1.sz.mell.'!B143</f>
        <v>Éven belüli lejáratú belföldi értékpapírok beváltása</v>
      </c>
      <c r="C141" s="181"/>
    </row>
    <row r="142" spans="1:3" ht="12" customHeight="1">
      <c r="A142" s="444" t="str">
        <f>'KV_1.1.sz.mell.'!A144</f>
        <v>46</v>
      </c>
      <c r="B142" s="407" t="str">
        <f>'KV_1.1.sz.mell.'!B144</f>
        <v>Belföldi kötvények beváltása</v>
      </c>
      <c r="C142" s="183"/>
    </row>
    <row r="143" spans="1:3" s="61" customFormat="1" ht="12" customHeight="1" thickBot="1">
      <c r="A143" s="444">
        <f>'KV_1.1.sz.mell.'!A145</f>
        <v>47</v>
      </c>
      <c r="B143" s="456" t="str">
        <f>'KV_1.1.sz.mell.'!B145</f>
        <v>Éven túli lejáratú belföldi értékpapírok beváltása</v>
      </c>
      <c r="C143" s="300"/>
    </row>
    <row r="144" spans="1:8" ht="12" customHeight="1" thickBot="1">
      <c r="A144" s="449">
        <f>'KV_1.1.sz.mell.'!A146</f>
        <v>48</v>
      </c>
      <c r="B144" s="90" t="str">
        <f>'KV_1.1.sz.mell.'!B146</f>
        <v>Belföldi finanszírozás kiadásai (49+ … + 52)</v>
      </c>
      <c r="C144" s="214">
        <f>C145+C146+C147+C148+C149</f>
        <v>252073471</v>
      </c>
      <c r="H144" s="164"/>
    </row>
    <row r="145" spans="1:3" ht="12.75">
      <c r="A145" s="444">
        <f>'KV_1.1.sz.mell.'!A147</f>
        <v>49</v>
      </c>
      <c r="B145" s="406" t="str">
        <f>'KV_1.1.sz.mell.'!B147</f>
        <v>Államháztartáson belüli megelőlegezések folyósítása</v>
      </c>
      <c r="C145" s="181"/>
    </row>
    <row r="146" spans="1:3" ht="12" customHeight="1">
      <c r="A146" s="444" t="str">
        <f>'KV_1.1.sz.mell.'!A148</f>
        <v>50</v>
      </c>
      <c r="B146" s="406" t="str">
        <f>'KV_1.1.sz.mell.'!B148</f>
        <v>Államháztartáson belüli megelőlegezések visszafizetése</v>
      </c>
      <c r="C146" s="181">
        <v>26821095</v>
      </c>
    </row>
    <row r="147" spans="1:3" ht="12" customHeight="1">
      <c r="A147" s="444" t="str">
        <f>'KV_1.1.sz.mell.'!A149</f>
        <v>51</v>
      </c>
      <c r="B147" s="406" t="s">
        <v>314</v>
      </c>
      <c r="C147" s="181">
        <v>224016407</v>
      </c>
    </row>
    <row r="148" spans="1:3" s="61" customFormat="1" ht="12" customHeight="1">
      <c r="A148" s="444">
        <f>'KV_1.1.sz.mell.'!A150</f>
        <v>52</v>
      </c>
      <c r="B148" s="407" t="str">
        <f>'KV_1.1.sz.mell.'!B149</f>
        <v>Pénzeszközök lekötött betétként elhelyezése</v>
      </c>
      <c r="C148" s="183"/>
    </row>
    <row r="149" spans="1:3" s="61" customFormat="1" ht="12" customHeight="1" thickBot="1">
      <c r="A149" s="445">
        <f>'KV_1.1.sz.mell.'!A151</f>
        <v>53</v>
      </c>
      <c r="B149" s="405" t="str">
        <f>'KV_1.1.sz.mell.'!B150</f>
        <v>Pénzügyi lízing kiadásai</v>
      </c>
      <c r="C149" s="300">
        <v>1235969</v>
      </c>
    </row>
    <row r="150" spans="1:3" s="61" customFormat="1" ht="12" customHeight="1" thickBot="1">
      <c r="A150" s="449">
        <f>'KV_1.1.sz.mell.'!A152</f>
        <v>54</v>
      </c>
      <c r="B150" s="90" t="str">
        <f>'KV_1.1.sz.mell.'!B151</f>
        <v>Külföldi finanszírozás kiadásai (54+ … + 58)</v>
      </c>
      <c r="C150" s="217">
        <f>SUM(C151:C155)</f>
        <v>0</v>
      </c>
    </row>
    <row r="151" spans="1:3" s="61" customFormat="1" ht="12" customHeight="1">
      <c r="A151" s="444">
        <f>'KV_1.1.sz.mell.'!A153</f>
        <v>55</v>
      </c>
      <c r="B151" s="406" t="str">
        <f>'KV_1.1.sz.mell.'!B152</f>
        <v>Forgatási célú külföldi értékpapírok vásárlása</v>
      </c>
      <c r="C151" s="181"/>
    </row>
    <row r="152" spans="1:3" s="61" customFormat="1" ht="12" customHeight="1">
      <c r="A152" s="444" t="str">
        <f>'KV_1.1.sz.mell.'!A154</f>
        <v>56</v>
      </c>
      <c r="B152" s="406" t="str">
        <f>'KV_1.1.sz.mell.'!B153</f>
        <v>Befektetési célú külföldi értékpapírok vásárlása</v>
      </c>
      <c r="C152" s="181"/>
    </row>
    <row r="153" spans="1:3" s="61" customFormat="1" ht="12" customHeight="1">
      <c r="A153" s="444" t="str">
        <f>'KV_1.1.sz.mell.'!A155</f>
        <v>57</v>
      </c>
      <c r="B153" s="406" t="str">
        <f>'KV_1.1.sz.mell.'!B154</f>
        <v>Külföldi értékpapírok beváltása</v>
      </c>
      <c r="C153" s="181"/>
    </row>
    <row r="154" spans="1:3" s="61" customFormat="1" ht="12" customHeight="1">
      <c r="A154" s="444" t="str">
        <f>'KV_1.1.sz.mell.'!A156</f>
        <v>58</v>
      </c>
      <c r="B154" s="406" t="str">
        <f>'KV_1.1.sz.mell.'!B155</f>
        <v>Hitelek, kölcsönök törlesztése külföldi kormányoknak nemz. szervezeteknek</v>
      </c>
      <c r="C154" s="181"/>
    </row>
    <row r="155" spans="1:3" ht="12.75" customHeight="1" thickBot="1">
      <c r="A155" s="445">
        <f>'KV_1.1.sz.mell.'!A157</f>
        <v>59</v>
      </c>
      <c r="B155" s="407" t="str">
        <f>'KV_1.1.sz.mell.'!B156</f>
        <v>Hitelek, kölcsönök törlesztése külföldi pénzintézeteknek</v>
      </c>
      <c r="C155" s="181"/>
    </row>
    <row r="156" spans="1:3" ht="12.75" customHeight="1" thickBot="1">
      <c r="A156" s="449">
        <f>'KV_1.1.sz.mell.'!A158</f>
        <v>60</v>
      </c>
      <c r="B156" s="90" t="str">
        <f>'KV_1.1.sz.mell.'!B157</f>
        <v>Adóssághoz nem kapcsolódó származékos ügyletek</v>
      </c>
      <c r="C156" s="299"/>
    </row>
    <row r="157" spans="1:3" ht="12.75" customHeight="1" thickBot="1">
      <c r="A157" s="449">
        <f>'KV_1.1.sz.mell.'!A159</f>
        <v>61</v>
      </c>
      <c r="B157" s="90" t="str">
        <f>'KV_1.1.sz.mell.'!B158</f>
        <v>Váltókiadások</v>
      </c>
      <c r="C157" s="299"/>
    </row>
    <row r="158" spans="1:3" ht="12" customHeight="1" thickBot="1">
      <c r="A158" s="449">
        <f>'KV_1.1.sz.mell.'!A160</f>
        <v>62</v>
      </c>
      <c r="B158" s="90" t="str">
        <f>'KV_1.1.sz.mell.'!B159</f>
        <v>FINANSZÍROZÁSI KIADÁSOK ÖSSZESEN: (37+41+48+53+59+60)</v>
      </c>
      <c r="C158" s="340">
        <f>+C133+C137+C144+C150+C156+C157</f>
        <v>252073471</v>
      </c>
    </row>
    <row r="159" spans="1:3" ht="15" customHeight="1" thickBot="1">
      <c r="A159" s="449" t="s">
        <v>492</v>
      </c>
      <c r="B159" s="399" t="str">
        <f>'KV_1.1.sz.mell.'!B160</f>
        <v>KIADÁSOK ÖSSZESEN: (36.+61)</v>
      </c>
      <c r="C159" s="340">
        <f>+C132+C158</f>
        <v>1526037466</v>
      </c>
    </row>
    <row r="160" spans="1:3" ht="13.5" customHeight="1" thickBot="1">
      <c r="A160" s="573"/>
      <c r="B160" s="256"/>
      <c r="C160" s="365">
        <f>C90-C159</f>
        <v>0</v>
      </c>
    </row>
    <row r="161" spans="1:3" ht="15" customHeight="1" thickBot="1">
      <c r="A161" s="893" t="s">
        <v>308</v>
      </c>
      <c r="B161" s="894"/>
      <c r="C161" s="81">
        <v>2</v>
      </c>
    </row>
    <row r="162" spans="1:3" ht="14.25" customHeight="1" thickBot="1">
      <c r="A162" s="893" t="s">
        <v>145</v>
      </c>
      <c r="B162" s="894"/>
      <c r="C162" s="81">
        <v>6</v>
      </c>
    </row>
    <row r="163" spans="1:3" ht="12.75">
      <c r="A163" s="364"/>
      <c r="B163" s="363"/>
      <c r="C163" s="364"/>
    </row>
    <row r="164" spans="1:2" ht="12.75">
      <c r="A164" s="364"/>
      <c r="B164" s="363"/>
    </row>
    <row r="165" spans="1:3" ht="12.75">
      <c r="A165" s="364"/>
      <c r="B165" s="363"/>
      <c r="C165" s="364"/>
    </row>
    <row r="166" spans="1:3" ht="12.75">
      <c r="A166" s="364"/>
      <c r="B166" s="363"/>
      <c r="C166" s="364"/>
    </row>
    <row r="167" spans="1:3" ht="12.75">
      <c r="A167" s="364"/>
      <c r="B167" s="363"/>
      <c r="C167" s="364"/>
    </row>
    <row r="168" spans="1:3" ht="12.75">
      <c r="A168" s="364"/>
      <c r="B168" s="363"/>
      <c r="C168" s="364"/>
    </row>
    <row r="169" spans="1:3" ht="12.75">
      <c r="A169" s="364"/>
      <c r="B169" s="363"/>
      <c r="C169" s="364"/>
    </row>
    <row r="170" spans="1:3" ht="12.75">
      <c r="A170" s="364"/>
      <c r="B170" s="363"/>
      <c r="C170" s="364"/>
    </row>
    <row r="171" spans="1:3" ht="12.75">
      <c r="A171" s="364"/>
      <c r="B171" s="363"/>
      <c r="C171" s="364"/>
    </row>
    <row r="172" spans="1:3" ht="12.75">
      <c r="A172" s="364"/>
      <c r="B172" s="363"/>
      <c r="C172" s="364"/>
    </row>
    <row r="173" spans="1:3" ht="12.75">
      <c r="A173" s="364"/>
      <c r="B173" s="363"/>
      <c r="C173" s="364"/>
    </row>
    <row r="174" spans="1:3" ht="12.75">
      <c r="A174" s="364"/>
      <c r="B174" s="363"/>
      <c r="C174" s="364"/>
    </row>
    <row r="175" spans="1:3" ht="12.75">
      <c r="A175" s="364"/>
      <c r="B175" s="363"/>
      <c r="C175" s="364"/>
    </row>
    <row r="176" spans="1:3" ht="12.75">
      <c r="A176" s="364"/>
      <c r="B176" s="363"/>
      <c r="C176" s="364"/>
    </row>
    <row r="177" spans="1:3" ht="12.75">
      <c r="A177" s="364"/>
      <c r="B177" s="363"/>
      <c r="C177" s="364"/>
    </row>
    <row r="178" spans="1:3" ht="12.75">
      <c r="A178" s="364"/>
      <c r="B178" s="363"/>
      <c r="C178" s="364"/>
    </row>
    <row r="179" spans="1:3" ht="12.75">
      <c r="A179" s="364"/>
      <c r="B179" s="363"/>
      <c r="C179" s="364"/>
    </row>
    <row r="180" spans="1:3" ht="12.75">
      <c r="A180" s="364"/>
      <c r="B180" s="363"/>
      <c r="C180" s="364"/>
    </row>
    <row r="181" spans="1:3" ht="12.75">
      <c r="A181" s="364"/>
      <c r="B181" s="363"/>
      <c r="C181" s="364"/>
    </row>
    <row r="182" spans="1:3" ht="12.75">
      <c r="A182" s="364"/>
      <c r="B182" s="363"/>
      <c r="C182" s="364"/>
    </row>
    <row r="183" spans="1:3" ht="12.75">
      <c r="A183" s="364"/>
      <c r="B183" s="363"/>
      <c r="C183" s="364"/>
    </row>
  </sheetData>
  <sheetProtection formatCells="0"/>
  <mergeCells count="10">
    <mergeCell ref="B1:C1"/>
    <mergeCell ref="A161:B161"/>
    <mergeCell ref="A162:B162"/>
    <mergeCell ref="A2:B2"/>
    <mergeCell ref="A3:B3"/>
    <mergeCell ref="A4:B4"/>
    <mergeCell ref="A92:B92"/>
    <mergeCell ref="A93:B93"/>
    <mergeCell ref="A94:B94"/>
    <mergeCell ref="A91:C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2" manualBreakCount="2">
    <brk id="74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82"/>
  <sheetViews>
    <sheetView zoomScale="120" zoomScaleNormal="120" workbookViewId="0" topLeftCell="A2">
      <selection activeCell="A2" sqref="A2:C60"/>
    </sheetView>
  </sheetViews>
  <sheetFormatPr defaultColWidth="9.00390625" defaultRowHeight="12.75"/>
  <cols>
    <col min="1" max="1" width="7.625" style="160" customWidth="1"/>
    <col min="2" max="2" width="69.625" style="161" customWidth="1"/>
    <col min="3" max="3" width="20.875" style="161" customWidth="1"/>
    <col min="4" max="16384" width="9.375" style="161" customWidth="1"/>
  </cols>
  <sheetData>
    <row r="1" spans="1:3" s="152" customFormat="1" ht="21" customHeight="1" hidden="1" thickBot="1">
      <c r="A1" s="355"/>
      <c r="B1" s="356"/>
      <c r="C1" s="350" t="str">
        <f>CONCATENATE("9.2. melléklet ",ALAPADATOK!A7," ",ALAPADATOK!B7," ",ALAPADATOK!C7," ",ALAPADATOK!D7," ",ALAPADATOK!E7," ",ALAPADATOK!F7," ",ALAPADATOK!G7," ",ALAPADATOK!H7)</f>
        <v>9.2. melléklet a … / 2023. ( … ) önkormányzati rendelethez</v>
      </c>
    </row>
    <row r="2" spans="1:3" s="276" customFormat="1" ht="15.75">
      <c r="A2" s="902" t="str">
        <f>CONCATENATE(ALAPADATOK!A11)</f>
        <v>Bátaszéki Közös Önkormányzati Hivatal</v>
      </c>
      <c r="B2" s="903"/>
      <c r="C2" s="366" t="s">
        <v>55</v>
      </c>
    </row>
    <row r="3" spans="1:3" s="276" customFormat="1" ht="16.5" thickBot="1">
      <c r="A3" s="897" t="s">
        <v>258</v>
      </c>
      <c r="B3" s="904"/>
      <c r="C3" s="367" t="s">
        <v>51</v>
      </c>
    </row>
    <row r="4" spans="1:3" s="277" customFormat="1" ht="15.75" customHeight="1" thickBot="1">
      <c r="A4" s="359"/>
      <c r="B4" s="359"/>
      <c r="C4" s="574" t="str">
        <f>'KV_7.sz.mell.'!F5</f>
        <v>Forintban!</v>
      </c>
    </row>
    <row r="5" spans="1:3" ht="13.5" thickBot="1">
      <c r="A5" s="905" t="s">
        <v>14</v>
      </c>
      <c r="B5" s="360" t="s">
        <v>544</v>
      </c>
      <c r="C5" s="368" t="s">
        <v>873</v>
      </c>
    </row>
    <row r="6" spans="1:3" s="278" customFormat="1" ht="12.75" customHeight="1" thickBot="1">
      <c r="A6" s="906"/>
      <c r="B6" s="361" t="s">
        <v>294</v>
      </c>
      <c r="C6" s="362" t="s">
        <v>295</v>
      </c>
    </row>
    <row r="7" spans="1:3" s="278" customFormat="1" ht="15.75" customHeight="1" thickBot="1">
      <c r="A7" s="155"/>
      <c r="B7" s="156" t="s">
        <v>53</v>
      </c>
      <c r="C7" s="157"/>
    </row>
    <row r="8" spans="1:3" s="246" customFormat="1" ht="12" customHeight="1" thickBot="1">
      <c r="A8" s="471">
        <v>1</v>
      </c>
      <c r="B8" s="465" t="s">
        <v>545</v>
      </c>
      <c r="C8" s="477">
        <f>SUM(C9:C19)</f>
        <v>3713059</v>
      </c>
    </row>
    <row r="9" spans="1:3" s="246" customFormat="1" ht="12" customHeight="1">
      <c r="A9" s="472" t="s">
        <v>441</v>
      </c>
      <c r="B9" s="402" t="s">
        <v>195</v>
      </c>
      <c r="C9" s="478"/>
    </row>
    <row r="10" spans="1:3" s="246" customFormat="1" ht="12" customHeight="1">
      <c r="A10" s="473" t="s">
        <v>442</v>
      </c>
      <c r="B10" s="403" t="s">
        <v>196</v>
      </c>
      <c r="C10" s="479">
        <v>360000</v>
      </c>
    </row>
    <row r="11" spans="1:3" s="246" customFormat="1" ht="12" customHeight="1">
      <c r="A11" s="473" t="s">
        <v>443</v>
      </c>
      <c r="B11" s="403" t="s">
        <v>197</v>
      </c>
      <c r="C11" s="479">
        <v>1940000</v>
      </c>
    </row>
    <row r="12" spans="1:3" s="246" customFormat="1" ht="12" customHeight="1">
      <c r="A12" s="473" t="s">
        <v>444</v>
      </c>
      <c r="B12" s="403" t="s">
        <v>198</v>
      </c>
      <c r="C12" s="479"/>
    </row>
    <row r="13" spans="1:3" s="246" customFormat="1" ht="12" customHeight="1">
      <c r="A13" s="473" t="s">
        <v>445</v>
      </c>
      <c r="B13" s="403" t="s">
        <v>199</v>
      </c>
      <c r="C13" s="479"/>
    </row>
    <row r="14" spans="1:3" s="246" customFormat="1" ht="12" customHeight="1">
      <c r="A14" s="473" t="s">
        <v>446</v>
      </c>
      <c r="B14" s="403" t="s">
        <v>259</v>
      </c>
      <c r="C14" s="479">
        <v>621000</v>
      </c>
    </row>
    <row r="15" spans="1:3" s="246" customFormat="1" ht="12" customHeight="1">
      <c r="A15" s="473" t="s">
        <v>462</v>
      </c>
      <c r="B15" s="407" t="s">
        <v>260</v>
      </c>
      <c r="C15" s="479">
        <v>792059</v>
      </c>
    </row>
    <row r="16" spans="1:3" s="246" customFormat="1" ht="12" customHeight="1">
      <c r="A16" s="473" t="s">
        <v>440</v>
      </c>
      <c r="B16" s="403" t="s">
        <v>202</v>
      </c>
      <c r="C16" s="480"/>
    </row>
    <row r="17" spans="1:3" s="279" customFormat="1" ht="12" customHeight="1">
      <c r="A17" s="473" t="s">
        <v>353</v>
      </c>
      <c r="B17" s="403" t="s">
        <v>203</v>
      </c>
      <c r="C17" s="479"/>
    </row>
    <row r="18" spans="1:3" s="279" customFormat="1" ht="12" customHeight="1">
      <c r="A18" s="473" t="s">
        <v>354</v>
      </c>
      <c r="B18" s="403" t="s">
        <v>274</v>
      </c>
      <c r="C18" s="481"/>
    </row>
    <row r="19" spans="1:3" s="279" customFormat="1" ht="12" customHeight="1" thickBot="1">
      <c r="A19" s="474" t="s">
        <v>355</v>
      </c>
      <c r="B19" s="407" t="s">
        <v>204</v>
      </c>
      <c r="C19" s="481"/>
    </row>
    <row r="20" spans="1:3" s="246" customFormat="1" ht="12" customHeight="1" thickBot="1">
      <c r="A20" s="471" t="s">
        <v>447</v>
      </c>
      <c r="B20" s="465" t="s">
        <v>548</v>
      </c>
      <c r="C20" s="477">
        <f>SUM(C21:C23)</f>
        <v>21951900</v>
      </c>
    </row>
    <row r="21" spans="1:3" s="279" customFormat="1" ht="12" customHeight="1">
      <c r="A21" s="473" t="s">
        <v>448</v>
      </c>
      <c r="B21" s="406" t="s">
        <v>188</v>
      </c>
      <c r="C21" s="479"/>
    </row>
    <row r="22" spans="1:3" s="279" customFormat="1" ht="12" customHeight="1">
      <c r="A22" s="473" t="s">
        <v>463</v>
      </c>
      <c r="B22" s="403" t="s">
        <v>587</v>
      </c>
      <c r="C22" s="479"/>
    </row>
    <row r="23" spans="1:3" s="279" customFormat="1" ht="12" customHeight="1">
      <c r="A23" s="473" t="s">
        <v>449</v>
      </c>
      <c r="B23" s="403" t="s">
        <v>588</v>
      </c>
      <c r="C23" s="479">
        <v>21951900</v>
      </c>
    </row>
    <row r="24" spans="1:3" s="279" customFormat="1" ht="12" customHeight="1" thickBot="1">
      <c r="A24" s="474" t="s">
        <v>450</v>
      </c>
      <c r="B24" s="405" t="s">
        <v>546</v>
      </c>
      <c r="C24" s="479"/>
    </row>
    <row r="25" spans="1:3" s="279" customFormat="1" ht="12" customHeight="1" thickBot="1">
      <c r="A25" s="471" t="s">
        <v>451</v>
      </c>
      <c r="B25" s="90" t="s">
        <v>130</v>
      </c>
      <c r="C25" s="482"/>
    </row>
    <row r="26" spans="1:3" s="279" customFormat="1" ht="12" customHeight="1" thickBot="1">
      <c r="A26" s="471" t="s">
        <v>452</v>
      </c>
      <c r="B26" s="90" t="s">
        <v>547</v>
      </c>
      <c r="C26" s="477">
        <f>+C27+C28+C29</f>
        <v>0</v>
      </c>
    </row>
    <row r="27" spans="1:3" s="279" customFormat="1" ht="12" customHeight="1">
      <c r="A27" s="473" t="s">
        <v>453</v>
      </c>
      <c r="B27" s="466" t="s">
        <v>191</v>
      </c>
      <c r="C27" s="483"/>
    </row>
    <row r="28" spans="1:3" s="279" customFormat="1" ht="12" customHeight="1">
      <c r="A28" s="473" t="s">
        <v>454</v>
      </c>
      <c r="B28" s="466" t="s">
        <v>268</v>
      </c>
      <c r="C28" s="479"/>
    </row>
    <row r="29" spans="1:3" s="279" customFormat="1" ht="12" customHeight="1">
      <c r="A29" s="473" t="s">
        <v>464</v>
      </c>
      <c r="B29" s="467" t="s">
        <v>193</v>
      </c>
      <c r="C29" s="479"/>
    </row>
    <row r="30" spans="1:3" s="279" customFormat="1" ht="12" customHeight="1" thickBot="1">
      <c r="A30" s="474" t="s">
        <v>455</v>
      </c>
      <c r="B30" s="609" t="s">
        <v>584</v>
      </c>
      <c r="C30" s="484"/>
    </row>
    <row r="31" spans="1:3" s="279" customFormat="1" ht="12" customHeight="1" thickBot="1">
      <c r="A31" s="471" t="s">
        <v>456</v>
      </c>
      <c r="B31" s="90" t="s">
        <v>549</v>
      </c>
      <c r="C31" s="477">
        <f>+C32+C33+C34</f>
        <v>0</v>
      </c>
    </row>
    <row r="32" spans="1:3" s="279" customFormat="1" ht="12" customHeight="1">
      <c r="A32" s="473" t="s">
        <v>457</v>
      </c>
      <c r="B32" s="466" t="s">
        <v>205</v>
      </c>
      <c r="C32" s="483"/>
    </row>
    <row r="33" spans="1:3" s="279" customFormat="1" ht="12" customHeight="1">
      <c r="A33" s="473" t="s">
        <v>458</v>
      </c>
      <c r="B33" s="467" t="s">
        <v>206</v>
      </c>
      <c r="C33" s="485"/>
    </row>
    <row r="34" spans="1:3" s="279" customFormat="1" ht="12" customHeight="1" thickBot="1">
      <c r="A34" s="474" t="s">
        <v>459</v>
      </c>
      <c r="B34" s="468" t="s">
        <v>207</v>
      </c>
      <c r="C34" s="484"/>
    </row>
    <row r="35" spans="1:3" s="246" customFormat="1" ht="12" customHeight="1" thickBot="1">
      <c r="A35" s="471" t="s">
        <v>460</v>
      </c>
      <c r="B35" s="90" t="s">
        <v>245</v>
      </c>
      <c r="C35" s="482"/>
    </row>
    <row r="36" spans="1:3" s="246" customFormat="1" ht="12" customHeight="1" thickBot="1">
      <c r="A36" s="471" t="s">
        <v>461</v>
      </c>
      <c r="B36" s="90" t="s">
        <v>261</v>
      </c>
      <c r="C36" s="486"/>
    </row>
    <row r="37" spans="1:3" s="246" customFormat="1" ht="12" customHeight="1" thickBot="1">
      <c r="A37" s="471" t="s">
        <v>465</v>
      </c>
      <c r="B37" s="90" t="s">
        <v>550</v>
      </c>
      <c r="C37" s="487">
        <f>+C8+C20+C25+C26+C31+C35+C36</f>
        <v>25664959</v>
      </c>
    </row>
    <row r="38" spans="1:3" s="246" customFormat="1" ht="12" customHeight="1" thickBot="1">
      <c r="A38" s="471" t="s">
        <v>518</v>
      </c>
      <c r="B38" s="90" t="s">
        <v>551</v>
      </c>
      <c r="C38" s="487">
        <f>+C39+C40+C41</f>
        <v>203523226</v>
      </c>
    </row>
    <row r="39" spans="1:3" s="246" customFormat="1" ht="12" customHeight="1">
      <c r="A39" s="473" t="s">
        <v>466</v>
      </c>
      <c r="B39" s="466" t="s">
        <v>589</v>
      </c>
      <c r="C39" s="483">
        <v>2534015</v>
      </c>
    </row>
    <row r="40" spans="1:3" s="246" customFormat="1" ht="12" customHeight="1">
      <c r="A40" s="473" t="s">
        <v>467</v>
      </c>
      <c r="B40" s="467" t="s">
        <v>590</v>
      </c>
      <c r="C40" s="485"/>
    </row>
    <row r="41" spans="1:3" s="279" customFormat="1" ht="12" customHeight="1" thickBot="1">
      <c r="A41" s="474" t="s">
        <v>468</v>
      </c>
      <c r="B41" s="468" t="s">
        <v>262</v>
      </c>
      <c r="C41" s="484">
        <v>200989211</v>
      </c>
    </row>
    <row r="42" spans="1:3" s="279" customFormat="1" ht="15" customHeight="1" thickBot="1">
      <c r="A42" s="471" t="s">
        <v>469</v>
      </c>
      <c r="B42" s="469" t="s">
        <v>552</v>
      </c>
      <c r="C42" s="488">
        <f>+C37+C38</f>
        <v>229188185</v>
      </c>
    </row>
    <row r="43" spans="1:3" ht="13.5" thickBot="1">
      <c r="A43" s="475"/>
      <c r="B43" s="158"/>
      <c r="C43" s="475"/>
    </row>
    <row r="44" spans="1:3" s="278" customFormat="1" ht="16.5" customHeight="1" thickBot="1">
      <c r="A44" s="476"/>
      <c r="B44" s="159" t="s">
        <v>54</v>
      </c>
      <c r="C44" s="488"/>
    </row>
    <row r="45" spans="1:3" s="280" customFormat="1" ht="12" customHeight="1" thickBot="1">
      <c r="A45" s="471">
        <v>1</v>
      </c>
      <c r="B45" s="90" t="s">
        <v>553</v>
      </c>
      <c r="C45" s="477">
        <f>SUM(C46:C50)</f>
        <v>228045185</v>
      </c>
    </row>
    <row r="46" spans="1:3" ht="12" customHeight="1">
      <c r="A46" s="472" t="s">
        <v>441</v>
      </c>
      <c r="B46" s="406" t="s">
        <v>47</v>
      </c>
      <c r="C46" s="483">
        <v>170116000</v>
      </c>
    </row>
    <row r="47" spans="1:3" ht="12" customHeight="1">
      <c r="A47" s="473" t="s">
        <v>442</v>
      </c>
      <c r="B47" s="403" t="s">
        <v>131</v>
      </c>
      <c r="C47" s="489">
        <v>22795170</v>
      </c>
    </row>
    <row r="48" spans="1:3" ht="12" customHeight="1">
      <c r="A48" s="473" t="s">
        <v>443</v>
      </c>
      <c r="B48" s="403" t="s">
        <v>103</v>
      </c>
      <c r="C48" s="489">
        <v>32600000</v>
      </c>
    </row>
    <row r="49" spans="1:3" ht="12" customHeight="1">
      <c r="A49" s="473" t="s">
        <v>444</v>
      </c>
      <c r="B49" s="403" t="s">
        <v>132</v>
      </c>
      <c r="C49" s="489"/>
    </row>
    <row r="50" spans="1:3" ht="12" customHeight="1" thickBot="1">
      <c r="A50" s="474" t="s">
        <v>445</v>
      </c>
      <c r="B50" s="405" t="s">
        <v>133</v>
      </c>
      <c r="C50" s="489">
        <v>2534015</v>
      </c>
    </row>
    <row r="51" spans="1:3" ht="12" customHeight="1" thickBot="1">
      <c r="A51" s="471" t="s">
        <v>446</v>
      </c>
      <c r="B51" s="90" t="s">
        <v>554</v>
      </c>
      <c r="C51" s="477">
        <f>SUM(C52:C54)</f>
        <v>1143000</v>
      </c>
    </row>
    <row r="52" spans="1:3" s="280" customFormat="1" ht="12" customHeight="1">
      <c r="A52" s="473" t="s">
        <v>462</v>
      </c>
      <c r="B52" s="406" t="s">
        <v>165</v>
      </c>
      <c r="C52" s="483">
        <v>1143000</v>
      </c>
    </row>
    <row r="53" spans="1:3" ht="12" customHeight="1">
      <c r="A53" s="473" t="s">
        <v>440</v>
      </c>
      <c r="B53" s="403" t="s">
        <v>134</v>
      </c>
      <c r="C53" s="489"/>
    </row>
    <row r="54" spans="1:3" ht="12" customHeight="1">
      <c r="A54" s="473" t="s">
        <v>353</v>
      </c>
      <c r="B54" s="403" t="s">
        <v>325</v>
      </c>
      <c r="C54" s="489"/>
    </row>
    <row r="55" spans="1:3" ht="12" customHeight="1" thickBot="1">
      <c r="A55" s="474" t="s">
        <v>354</v>
      </c>
      <c r="B55" s="608" t="s">
        <v>583</v>
      </c>
      <c r="C55" s="489"/>
    </row>
    <row r="56" spans="1:3" ht="12" customHeight="1" thickBot="1">
      <c r="A56" s="471" t="s">
        <v>355</v>
      </c>
      <c r="B56" s="90" t="s">
        <v>12</v>
      </c>
      <c r="C56" s="482"/>
    </row>
    <row r="57" spans="1:3" ht="15" customHeight="1" thickBot="1">
      <c r="A57" s="471" t="s">
        <v>447</v>
      </c>
      <c r="B57" s="470" t="s">
        <v>555</v>
      </c>
      <c r="C57" s="490">
        <f>+C45+C51+C56</f>
        <v>229188185</v>
      </c>
    </row>
    <row r="58" ht="13.5" thickBot="1">
      <c r="C58" s="595">
        <f>C42-C57</f>
        <v>0</v>
      </c>
    </row>
    <row r="59" spans="1:3" ht="15" customHeight="1" thickBot="1">
      <c r="A59" s="162" t="s">
        <v>308</v>
      </c>
      <c r="B59" s="163"/>
      <c r="C59" s="492">
        <v>32</v>
      </c>
    </row>
    <row r="60" spans="1:3" ht="14.25" customHeight="1" thickBot="1">
      <c r="A60" s="162" t="s">
        <v>145</v>
      </c>
      <c r="B60" s="163"/>
      <c r="C60" s="492">
        <v>0</v>
      </c>
    </row>
    <row r="61" spans="1:3" ht="12.75">
      <c r="A61" s="369"/>
      <c r="B61" s="370"/>
      <c r="C61" s="370"/>
    </row>
    <row r="62" spans="1:2" ht="12.75">
      <c r="A62" s="369"/>
      <c r="B62" s="370"/>
    </row>
    <row r="63" spans="1:3" ht="12.75">
      <c r="A63" s="369"/>
      <c r="B63" s="370"/>
      <c r="C63" s="370"/>
    </row>
    <row r="64" spans="1:3" ht="12.75">
      <c r="A64" s="369"/>
      <c r="B64" s="370"/>
      <c r="C64" s="370"/>
    </row>
    <row r="65" spans="1:3" ht="12.75">
      <c r="A65" s="369"/>
      <c r="B65" s="370"/>
      <c r="C65" s="370"/>
    </row>
    <row r="66" spans="1:3" ht="12.75">
      <c r="A66" s="369"/>
      <c r="B66" s="370"/>
      <c r="C66" s="370"/>
    </row>
    <row r="67" spans="1:3" ht="12.75">
      <c r="A67" s="369"/>
      <c r="B67" s="370"/>
      <c r="C67" s="370"/>
    </row>
    <row r="68" spans="1:3" ht="12.75">
      <c r="A68" s="369"/>
      <c r="B68" s="370"/>
      <c r="C68" s="370"/>
    </row>
    <row r="69" spans="1:3" ht="12.75">
      <c r="A69" s="369"/>
      <c r="B69" s="370"/>
      <c r="C69" s="370"/>
    </row>
    <row r="70" spans="1:3" ht="12.75">
      <c r="A70" s="369"/>
      <c r="B70" s="370"/>
      <c r="C70" s="370"/>
    </row>
    <row r="71" spans="1:3" ht="12.75">
      <c r="A71" s="369"/>
      <c r="B71" s="370"/>
      <c r="C71" s="370"/>
    </row>
    <row r="72" spans="1:3" ht="12.75">
      <c r="A72" s="369"/>
      <c r="B72" s="370"/>
      <c r="C72" s="370"/>
    </row>
    <row r="73" spans="1:3" ht="12.75">
      <c r="A73" s="369"/>
      <c r="B73" s="370"/>
      <c r="C73" s="370"/>
    </row>
    <row r="74" spans="1:3" ht="12.75">
      <c r="A74" s="369"/>
      <c r="B74" s="370"/>
      <c r="C74" s="370"/>
    </row>
    <row r="75" spans="1:3" ht="12.75">
      <c r="A75" s="369"/>
      <c r="B75" s="370"/>
      <c r="C75" s="370"/>
    </row>
    <row r="76" spans="1:3" ht="12.75">
      <c r="A76" s="369"/>
      <c r="B76" s="370"/>
      <c r="C76" s="370"/>
    </row>
    <row r="77" spans="1:3" ht="12.75">
      <c r="A77" s="369"/>
      <c r="B77" s="370"/>
      <c r="C77" s="370"/>
    </row>
    <row r="78" spans="1:3" ht="12.75">
      <c r="A78" s="369"/>
      <c r="B78" s="370"/>
      <c r="C78" s="370"/>
    </row>
    <row r="79" spans="1:3" ht="12.75">
      <c r="A79" s="369"/>
      <c r="B79" s="370"/>
      <c r="C79" s="370"/>
    </row>
    <row r="80" spans="1:3" ht="12.75">
      <c r="A80" s="369"/>
      <c r="B80" s="370"/>
      <c r="C80" s="370"/>
    </row>
    <row r="81" spans="1:3" ht="12.75">
      <c r="A81" s="369"/>
      <c r="B81" s="370"/>
      <c r="C81" s="370"/>
    </row>
    <row r="82" spans="1:3" ht="12.75">
      <c r="A82" s="369"/>
      <c r="B82" s="370"/>
      <c r="C82" s="370"/>
    </row>
  </sheetData>
  <sheetProtection formatCells="0"/>
  <mergeCells count="3">
    <mergeCell ref="A2:B2"/>
    <mergeCell ref="A3:B3"/>
    <mergeCell ref="A5:A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">
      <selection activeCell="K18" sqref="K18"/>
    </sheetView>
  </sheetViews>
  <sheetFormatPr defaultColWidth="9.00390625" defaultRowHeight="12.75"/>
  <cols>
    <col min="1" max="1" width="7.625" style="160" customWidth="1"/>
    <col min="2" max="2" width="70.625" style="161" customWidth="1"/>
    <col min="3" max="3" width="19.50390625" style="161" customWidth="1"/>
    <col min="4" max="16384" width="9.375" style="161" customWidth="1"/>
  </cols>
  <sheetData>
    <row r="1" spans="1:3" s="152" customFormat="1" ht="21" customHeight="1" hidden="1" thickBot="1">
      <c r="A1" s="151"/>
      <c r="B1" s="153"/>
      <c r="C1" s="350" t="str">
        <f>CONCATENATE(ALAPADATOK!P13," melléklet ",ALAPADATOK!A7," ",ALAPADATOK!B7," ",ALAPADATOK!C7," ",ALAPADATOK!D7," ",ALAPADATOK!E7," ",ALAPADATOK!F7," ",ALAPADATOK!G7," ",ALAPADATOK!H7)</f>
        <v>9.3. melléklet a … / 2023. ( … ) önkormányzati rendelethez</v>
      </c>
    </row>
    <row r="2" spans="1:3" s="276" customFormat="1" ht="15.75">
      <c r="A2" s="907" t="str">
        <f>CONCATENATE(ALAPADATOK!B13)</f>
        <v>Keresztély Gyula Város Könyvtár</v>
      </c>
      <c r="B2" s="908"/>
      <c r="C2" s="244" t="s">
        <v>56</v>
      </c>
    </row>
    <row r="3" spans="1:3" s="276" customFormat="1" ht="16.5" thickBot="1">
      <c r="A3" s="909" t="s">
        <v>258</v>
      </c>
      <c r="B3" s="904"/>
      <c r="C3" s="245" t="s">
        <v>51</v>
      </c>
    </row>
    <row r="4" spans="1:3" s="277" customFormat="1" ht="15.75" customHeight="1" thickBot="1">
      <c r="A4" s="154"/>
      <c r="B4" s="154"/>
      <c r="C4" s="574" t="str">
        <f>'KV_7.sz.mell.'!F5</f>
        <v>Forintban!</v>
      </c>
    </row>
    <row r="5" spans="1:3" ht="13.5" customHeight="1" thickBot="1">
      <c r="A5" s="905" t="str">
        <f>'KV_9.2.sz.mell'!A5</f>
        <v>Sor-szám</v>
      </c>
      <c r="B5" s="360" t="str">
        <f>'KV_9.2.sz.mell'!B5</f>
        <v>Előirányzat megnevezése</v>
      </c>
      <c r="C5" s="368" t="str">
        <f>'KV_1.1.sz.mell.'!C8</f>
        <v>2023. évi előirányzat</v>
      </c>
    </row>
    <row r="6" spans="1:3" s="278" customFormat="1" ht="12.75" customHeight="1" thickBot="1">
      <c r="A6" s="906"/>
      <c r="B6" s="361" t="str">
        <f>'KV_9.2.sz.mell'!B6</f>
        <v>A</v>
      </c>
      <c r="C6" s="408" t="s">
        <v>295</v>
      </c>
    </row>
    <row r="7" spans="1:3" s="278" customFormat="1" ht="15.75" customHeight="1" thickBot="1">
      <c r="A7" s="155"/>
      <c r="B7" s="156" t="str">
        <f>'KV_9.2.sz.mell'!B7</f>
        <v>Bevételek</v>
      </c>
      <c r="C7" s="633"/>
    </row>
    <row r="8" spans="1:3" s="246" customFormat="1" ht="12" customHeight="1" thickBot="1">
      <c r="A8" s="611">
        <f>'KV_9.2.sz.mell'!A8</f>
        <v>1</v>
      </c>
      <c r="B8" s="465" t="str">
        <f>'KV_9.2.sz.mell'!B8</f>
        <v>Működési bevételek (2+…+12)</v>
      </c>
      <c r="C8" s="477">
        <f>SUM(C9:C19)</f>
        <v>320000</v>
      </c>
    </row>
    <row r="9" spans="1:3" s="246" customFormat="1" ht="12" customHeight="1">
      <c r="A9" s="473" t="str">
        <f>'KV_9.2.sz.mell'!A9</f>
        <v>2</v>
      </c>
      <c r="B9" s="402" t="str">
        <f>'KV_9.2.sz.mell'!B9</f>
        <v>Készletértékesítés ellenértéke</v>
      </c>
      <c r="C9" s="478"/>
    </row>
    <row r="10" spans="1:3" s="246" customFormat="1" ht="12" customHeight="1">
      <c r="A10" s="473" t="str">
        <f>'KV_9.2.sz.mell'!A10</f>
        <v>3</v>
      </c>
      <c r="B10" s="403" t="str">
        <f>'KV_9.2.sz.mell'!B10</f>
        <v>Szolgáltatások ellenértéke</v>
      </c>
      <c r="C10" s="479">
        <v>250000</v>
      </c>
    </row>
    <row r="11" spans="1:3" s="246" customFormat="1" ht="12" customHeight="1">
      <c r="A11" s="473" t="str">
        <f>'KV_9.2.sz.mell'!A11</f>
        <v>4</v>
      </c>
      <c r="B11" s="403" t="str">
        <f>'KV_9.2.sz.mell'!B11</f>
        <v>Közvetített szolgáltatások értéke</v>
      </c>
      <c r="C11" s="479"/>
    </row>
    <row r="12" spans="1:3" s="246" customFormat="1" ht="12" customHeight="1">
      <c r="A12" s="473" t="str">
        <f>'KV_9.2.sz.mell'!A12</f>
        <v>5</v>
      </c>
      <c r="B12" s="403" t="str">
        <f>'KV_9.2.sz.mell'!B12</f>
        <v>Tulajdonosi bevételek</v>
      </c>
      <c r="C12" s="479"/>
    </row>
    <row r="13" spans="1:3" s="246" customFormat="1" ht="12" customHeight="1">
      <c r="A13" s="473" t="str">
        <f>'KV_9.2.sz.mell'!A13</f>
        <v>6</v>
      </c>
      <c r="B13" s="403" t="str">
        <f>'KV_9.2.sz.mell'!B13</f>
        <v>Ellátási díjak</v>
      </c>
      <c r="C13" s="479"/>
    </row>
    <row r="14" spans="1:3" s="246" customFormat="1" ht="12" customHeight="1">
      <c r="A14" s="473" t="str">
        <f>'KV_9.2.sz.mell'!A14</f>
        <v>7</v>
      </c>
      <c r="B14" s="403" t="str">
        <f>'KV_9.2.sz.mell'!B14</f>
        <v>Kiszámlázott általános forgalmi adó</v>
      </c>
      <c r="C14" s="479"/>
    </row>
    <row r="15" spans="1:3" s="246" customFormat="1" ht="12" customHeight="1">
      <c r="A15" s="473" t="str">
        <f>'KV_9.2.sz.mell'!A15</f>
        <v>8</v>
      </c>
      <c r="B15" s="407" t="str">
        <f>'KV_9.2.sz.mell'!B15</f>
        <v>Általános forgalmi adó visszatérülése</v>
      </c>
      <c r="C15" s="479"/>
    </row>
    <row r="16" spans="1:3" s="246" customFormat="1" ht="12" customHeight="1">
      <c r="A16" s="473" t="str">
        <f>'KV_9.2.sz.mell'!A16</f>
        <v>9</v>
      </c>
      <c r="B16" s="403" t="str">
        <f>'KV_9.2.sz.mell'!B16</f>
        <v>Kamatbevételek</v>
      </c>
      <c r="C16" s="480"/>
    </row>
    <row r="17" spans="1:3" s="279" customFormat="1" ht="12" customHeight="1">
      <c r="A17" s="473" t="str">
        <f>'KV_9.2.sz.mell'!A17</f>
        <v>10</v>
      </c>
      <c r="B17" s="403" t="str">
        <f>'KV_9.2.sz.mell'!B17</f>
        <v>Egyéb pénzügyi műveletek bevételei</v>
      </c>
      <c r="C17" s="479"/>
    </row>
    <row r="18" spans="1:3" s="279" customFormat="1" ht="12" customHeight="1">
      <c r="A18" s="473" t="str">
        <f>'KV_9.2.sz.mell'!A18</f>
        <v>11</v>
      </c>
      <c r="B18" s="403" t="str">
        <f>'KV_9.2.sz.mell'!B18</f>
        <v>Biztosító által fizetett kártérítés</v>
      </c>
      <c r="C18" s="481"/>
    </row>
    <row r="19" spans="1:3" s="279" customFormat="1" ht="12" customHeight="1" thickBot="1">
      <c r="A19" s="474" t="str">
        <f>'KV_9.2.sz.mell'!A19</f>
        <v>12</v>
      </c>
      <c r="B19" s="407" t="str">
        <f>'KV_9.2.sz.mell'!B19</f>
        <v>Egyéb működési bevételek</v>
      </c>
      <c r="C19" s="481">
        <v>70000</v>
      </c>
    </row>
    <row r="20" spans="1:3" s="246" customFormat="1" ht="12" customHeight="1" thickBot="1">
      <c r="A20" s="471" t="str">
        <f>'KV_9.2.sz.mell'!A20</f>
        <v>13</v>
      </c>
      <c r="B20" s="465" t="str">
        <f>'KV_9.2.sz.mell'!B20</f>
        <v>Működési célú támogatások államháztartáson belülről (14+…+16)</v>
      </c>
      <c r="C20" s="477">
        <f>SUM(C21:C23)</f>
        <v>0</v>
      </c>
    </row>
    <row r="21" spans="1:3" s="279" customFormat="1" ht="12" customHeight="1">
      <c r="A21" s="473" t="str">
        <f>'KV_9.2.sz.mell'!A21</f>
        <v>14</v>
      </c>
      <c r="B21" s="406" t="str">
        <f>'KV_9.2.sz.mell'!B21</f>
        <v>Elvonások és befizetések bevételei</v>
      </c>
      <c r="C21" s="479"/>
    </row>
    <row r="22" spans="1:3" s="279" customFormat="1" ht="12" customHeight="1">
      <c r="A22" s="473" t="str">
        <f>'KV_9.2.sz.mell'!A22</f>
        <v>15</v>
      </c>
      <c r="B22" s="403" t="str">
        <f>'KV_9.2.sz.mell'!B22</f>
        <v>Működési célú visszatérítendő támogatások, kölcsönök visszatérülése</v>
      </c>
      <c r="C22" s="479"/>
    </row>
    <row r="23" spans="1:3" s="279" customFormat="1" ht="12" customHeight="1">
      <c r="A23" s="473" t="str">
        <f>'KV_9.2.sz.mell'!A23</f>
        <v>16</v>
      </c>
      <c r="B23" s="403" t="str">
        <f>'KV_9.2.sz.mell'!B23</f>
        <v>Egyéb működési célú támogatások bevételei</v>
      </c>
      <c r="C23" s="479"/>
    </row>
    <row r="24" spans="1:3" s="279" customFormat="1" ht="12" customHeight="1" thickBot="1">
      <c r="A24" s="474" t="str">
        <f>'KV_9.2.sz.mell'!A24</f>
        <v>17</v>
      </c>
      <c r="B24" s="405" t="str">
        <f>'KV_9.2.sz.mell'!B24</f>
        <v>  16-ból EU támogatás</v>
      </c>
      <c r="C24" s="479"/>
    </row>
    <row r="25" spans="1:3" s="279" customFormat="1" ht="12" customHeight="1" thickBot="1">
      <c r="A25" s="471" t="str">
        <f>'KV_9.2.sz.mell'!A25</f>
        <v>18</v>
      </c>
      <c r="B25" s="90" t="str">
        <f>'KV_9.2.sz.mell'!B25</f>
        <v>Közhatalmi bevételek</v>
      </c>
      <c r="C25" s="482"/>
    </row>
    <row r="26" spans="1:3" s="279" customFormat="1" ht="12" customHeight="1" thickBot="1">
      <c r="A26" s="471" t="str">
        <f>'KV_9.2.sz.mell'!A26</f>
        <v>19</v>
      </c>
      <c r="B26" s="90" t="str">
        <f>'KV_9.2.sz.mell'!B26</f>
        <v>Felhalmozási célú támogatások államháztartáson belülről (20+…+22)</v>
      </c>
      <c r="C26" s="477">
        <f>+C27+C28+C29</f>
        <v>0</v>
      </c>
    </row>
    <row r="27" spans="1:3" s="279" customFormat="1" ht="12" customHeight="1">
      <c r="A27" s="473" t="str">
        <f>'KV_9.2.sz.mell'!A27</f>
        <v>20</v>
      </c>
      <c r="B27" s="466" t="str">
        <f>'KV_9.2.sz.mell'!B27</f>
        <v>Felhalmozási célú önkormányzati támogatások</v>
      </c>
      <c r="C27" s="483"/>
    </row>
    <row r="28" spans="1:3" s="279" customFormat="1" ht="12" customHeight="1">
      <c r="A28" s="473" t="str">
        <f>'KV_9.2.sz.mell'!A28</f>
        <v>21</v>
      </c>
      <c r="B28" s="466" t="str">
        <f>'KV_9.2.sz.mell'!B28</f>
        <v>Felhalmozási célú visszatérítendő támogatások, kölcsönök visszatérülése</v>
      </c>
      <c r="C28" s="479"/>
    </row>
    <row r="29" spans="1:3" s="279" customFormat="1" ht="12" customHeight="1">
      <c r="A29" s="473" t="str">
        <f>'KV_9.2.sz.mell'!A29</f>
        <v>22</v>
      </c>
      <c r="B29" s="467" t="str">
        <f>'KV_9.2.sz.mell'!B29</f>
        <v>Egyéb felhalmozási célú támogatások bevételei</v>
      </c>
      <c r="C29" s="479"/>
    </row>
    <row r="30" spans="1:3" s="279" customFormat="1" ht="12" customHeight="1" thickBot="1">
      <c r="A30" s="474" t="str">
        <f>'KV_9.2.sz.mell'!A30</f>
        <v>23</v>
      </c>
      <c r="B30" s="609" t="str">
        <f>'KV_9.2.sz.mell'!B30</f>
        <v>   22-ből EU-s támogatás</v>
      </c>
      <c r="C30" s="484"/>
    </row>
    <row r="31" spans="1:3" s="279" customFormat="1" ht="12" customHeight="1" thickBot="1">
      <c r="A31" s="471" t="str">
        <f>'KV_9.2.sz.mell'!A31</f>
        <v>24</v>
      </c>
      <c r="B31" s="90" t="str">
        <f>'KV_9.2.sz.mell'!B31</f>
        <v>Felhalmozási bevételek (25+…+27)</v>
      </c>
      <c r="C31" s="477">
        <f>+C32+C33+C34</f>
        <v>0</v>
      </c>
    </row>
    <row r="32" spans="1:3" s="279" customFormat="1" ht="12" customHeight="1">
      <c r="A32" s="473" t="str">
        <f>'KV_9.2.sz.mell'!A32</f>
        <v>25</v>
      </c>
      <c r="B32" s="466" t="str">
        <f>'KV_9.2.sz.mell'!B32</f>
        <v>Immateriális javak értékesítése</v>
      </c>
      <c r="C32" s="483"/>
    </row>
    <row r="33" spans="1:3" s="279" customFormat="1" ht="12" customHeight="1">
      <c r="A33" s="473" t="str">
        <f>'KV_9.2.sz.mell'!A33</f>
        <v>26</v>
      </c>
      <c r="B33" s="467" t="str">
        <f>'KV_9.2.sz.mell'!B33</f>
        <v>Ingatlanok értékesítése</v>
      </c>
      <c r="C33" s="485"/>
    </row>
    <row r="34" spans="1:3" s="246" customFormat="1" ht="12" customHeight="1" thickBot="1">
      <c r="A34" s="474" t="str">
        <f>'KV_9.2.sz.mell'!A34</f>
        <v>27</v>
      </c>
      <c r="B34" s="468" t="str">
        <f>'KV_9.2.sz.mell'!B34</f>
        <v>Egyéb tárgyi eszközök értékesítése</v>
      </c>
      <c r="C34" s="484"/>
    </row>
    <row r="35" spans="1:3" s="246" customFormat="1" ht="12" customHeight="1" thickBot="1">
      <c r="A35" s="471" t="str">
        <f>'KV_9.2.sz.mell'!A35</f>
        <v>28</v>
      </c>
      <c r="B35" s="90" t="str">
        <f>'KV_9.2.sz.mell'!B35</f>
        <v>Működési célú átvett pénzeszközök</v>
      </c>
      <c r="C35" s="482"/>
    </row>
    <row r="36" spans="1:3" s="246" customFormat="1" ht="12" customHeight="1" thickBot="1">
      <c r="A36" s="471" t="str">
        <f>'KV_9.2.sz.mell'!A36</f>
        <v>29</v>
      </c>
      <c r="B36" s="90" t="str">
        <f>'KV_9.2.sz.mell'!B36</f>
        <v>Felhalmozási célú átvett pénzeszközök</v>
      </c>
      <c r="C36" s="486"/>
    </row>
    <row r="37" spans="1:3" s="246" customFormat="1" ht="12" customHeight="1" thickBot="1">
      <c r="A37" s="471" t="str">
        <f>'KV_9.2.sz.mell'!A37</f>
        <v>30</v>
      </c>
      <c r="B37" s="90" t="str">
        <f>'KV_9.2.sz.mell'!B37</f>
        <v>Költségvetési bevételek összesen (1+13+18+19+24+28+29)</v>
      </c>
      <c r="C37" s="487">
        <f>+C8+C20+C25+C26+C31+C35+C36</f>
        <v>320000</v>
      </c>
    </row>
    <row r="38" spans="1:3" s="246" customFormat="1" ht="12" customHeight="1" thickBot="1">
      <c r="A38" s="471" t="str">
        <f>'KV_9.2.sz.mell'!A38</f>
        <v>31</v>
      </c>
      <c r="B38" s="90" t="str">
        <f>'KV_9.2.sz.mell'!B38</f>
        <v>Finanszírozási bevételek (32+…+34)</v>
      </c>
      <c r="C38" s="487">
        <f>+C39+C40+C41</f>
        <v>23404000</v>
      </c>
    </row>
    <row r="39" spans="1:3" s="246" customFormat="1" ht="12" customHeight="1">
      <c r="A39" s="473" t="str">
        <f>'KV_9.2.sz.mell'!A39</f>
        <v>32</v>
      </c>
      <c r="B39" s="466" t="str">
        <f>'KV_9.2.sz.mell'!B39</f>
        <v>Előző évi költségvetési maradvány igénybevétele</v>
      </c>
      <c r="C39" s="483">
        <v>376804</v>
      </c>
    </row>
    <row r="40" spans="1:3" s="279" customFormat="1" ht="12" customHeight="1">
      <c r="A40" s="473" t="str">
        <f>'KV_9.2.sz.mell'!A40</f>
        <v>33</v>
      </c>
      <c r="B40" s="467" t="str">
        <f>'KV_9.2.sz.mell'!B40</f>
        <v>Előző évi vállalkozási maradvány igénybevétele</v>
      </c>
      <c r="C40" s="485"/>
    </row>
    <row r="41" spans="1:3" s="279" customFormat="1" ht="15" customHeight="1" thickBot="1">
      <c r="A41" s="474" t="str">
        <f>'KV_9.2.sz.mell'!A41</f>
        <v>34</v>
      </c>
      <c r="B41" s="468" t="str">
        <f>'KV_9.2.sz.mell'!B41</f>
        <v>Irányító szervi (önkormányzati) támogatás (intézményfinanszírozás)</v>
      </c>
      <c r="C41" s="484">
        <v>23027196</v>
      </c>
    </row>
    <row r="42" spans="1:3" ht="13.5" thickBot="1">
      <c r="A42" s="471" t="str">
        <f>'KV_9.2.sz.mell'!A42</f>
        <v>35</v>
      </c>
      <c r="B42" s="469" t="str">
        <f>'KV_9.2.sz.mell'!B42</f>
        <v>BEVÉTELEK ÖSSZESEN: (30+31)</v>
      </c>
      <c r="C42" s="488">
        <f>+C37+C38</f>
        <v>23724000</v>
      </c>
    </row>
    <row r="43" spans="1:3" s="278" customFormat="1" ht="16.5" customHeight="1" thickBot="1">
      <c r="A43" s="475"/>
      <c r="B43" s="158"/>
      <c r="C43" s="475"/>
    </row>
    <row r="44" spans="1:3" s="280" customFormat="1" ht="12" customHeight="1" thickBot="1">
      <c r="A44" s="476"/>
      <c r="B44" s="159" t="str">
        <f>'KV_9.2.sz.mell'!B44</f>
        <v>Kiadások</v>
      </c>
      <c r="C44" s="488"/>
    </row>
    <row r="45" spans="1:3" ht="12" customHeight="1" thickBot="1">
      <c r="A45" s="471">
        <f>'KV_9.2.sz.mell'!A45</f>
        <v>1</v>
      </c>
      <c r="B45" s="90" t="str">
        <f>'KV_9.2.sz.mell'!B45</f>
        <v>Működési költségvetés kiadásai (2+…+6)</v>
      </c>
      <c r="C45" s="477">
        <f>SUM(C46:C50)</f>
        <v>22224000</v>
      </c>
    </row>
    <row r="46" spans="1:3" ht="12" customHeight="1">
      <c r="A46" s="472" t="str">
        <f>'KV_9.2.sz.mell'!A46</f>
        <v>2</v>
      </c>
      <c r="B46" s="406" t="str">
        <f>'KV_9.2.sz.mell'!B46</f>
        <v>Személyi  juttatások</v>
      </c>
      <c r="C46" s="483">
        <v>9514000</v>
      </c>
    </row>
    <row r="47" spans="1:3" ht="12" customHeight="1">
      <c r="A47" s="473" t="str">
        <f>'KV_9.2.sz.mell'!A47</f>
        <v>3</v>
      </c>
      <c r="B47" s="403" t="str">
        <f>'KV_9.2.sz.mell'!B47</f>
        <v>Munkaadókat terhelő járulékok és szociális hozzájárulási adó</v>
      </c>
      <c r="C47" s="489">
        <v>600000</v>
      </c>
    </row>
    <row r="48" spans="1:3" ht="12" customHeight="1">
      <c r="A48" s="473" t="str">
        <f>'KV_9.2.sz.mell'!A48</f>
        <v>4</v>
      </c>
      <c r="B48" s="403" t="str">
        <f>'KV_9.2.sz.mell'!B48</f>
        <v>Dologi  kiadások</v>
      </c>
      <c r="C48" s="489">
        <v>12110000</v>
      </c>
    </row>
    <row r="49" spans="1:3" ht="12" customHeight="1">
      <c r="A49" s="473" t="str">
        <f>'KV_9.2.sz.mell'!A49</f>
        <v>5</v>
      </c>
      <c r="B49" s="403" t="str">
        <f>'KV_9.2.sz.mell'!B49</f>
        <v>Ellátottak pénzbeli juttatásai</v>
      </c>
      <c r="C49" s="489"/>
    </row>
    <row r="50" spans="1:3" ht="12" customHeight="1" thickBot="1">
      <c r="A50" s="474" t="str">
        <f>'KV_9.2.sz.mell'!A50</f>
        <v>6</v>
      </c>
      <c r="B50" s="405" t="str">
        <f>'KV_9.2.sz.mell'!B50</f>
        <v>Egyéb működési célú kiadások</v>
      </c>
      <c r="C50" s="489"/>
    </row>
    <row r="51" spans="1:3" s="280" customFormat="1" ht="12" customHeight="1" thickBot="1">
      <c r="A51" s="471" t="str">
        <f>'KV_9.2.sz.mell'!A51</f>
        <v>7</v>
      </c>
      <c r="B51" s="90" t="str">
        <f>'KV_9.2.sz.mell'!B51</f>
        <v>Felhalmozási költségvetés kiadásai (8+…+10)</v>
      </c>
      <c r="C51" s="477">
        <f>SUM(C52:C54)</f>
        <v>1500000</v>
      </c>
    </row>
    <row r="52" spans="1:3" ht="12" customHeight="1">
      <c r="A52" s="473" t="str">
        <f>'KV_9.2.sz.mell'!A52</f>
        <v>8</v>
      </c>
      <c r="B52" s="406" t="str">
        <f>'KV_9.2.sz.mell'!B52</f>
        <v>Beruházások</v>
      </c>
      <c r="C52" s="483">
        <v>1500000</v>
      </c>
    </row>
    <row r="53" spans="1:3" ht="12" customHeight="1">
      <c r="A53" s="473" t="str">
        <f>'KV_9.2.sz.mell'!A53</f>
        <v>9</v>
      </c>
      <c r="B53" s="403" t="str">
        <f>'KV_9.2.sz.mell'!B53</f>
        <v>Felújítások</v>
      </c>
      <c r="C53" s="489"/>
    </row>
    <row r="54" spans="1:3" ht="12" customHeight="1">
      <c r="A54" s="473" t="str">
        <f>'KV_9.2.sz.mell'!A54</f>
        <v>10</v>
      </c>
      <c r="B54" s="403" t="str">
        <f>'KV_9.2.sz.mell'!B54</f>
        <v>Egyéb felhalmozási célú kiadások</v>
      </c>
      <c r="C54" s="489"/>
    </row>
    <row r="55" spans="1:3" ht="15" customHeight="1" thickBot="1">
      <c r="A55" s="474" t="str">
        <f>'KV_9.2.sz.mell'!A55</f>
        <v>11</v>
      </c>
      <c r="B55" s="608" t="str">
        <f>'KV_9.2.sz.mell'!B55</f>
        <v>   10-ből EU-s támogatásból megvalósuló programok, projektek kiadása</v>
      </c>
      <c r="C55" s="489"/>
    </row>
    <row r="56" spans="1:3" ht="13.5" thickBot="1">
      <c r="A56" s="471" t="str">
        <f>'KV_9.2.sz.mell'!A56</f>
        <v>12</v>
      </c>
      <c r="B56" s="90" t="str">
        <f>'KV_9.2.sz.mell'!B56</f>
        <v>Finanszírozási kiadások</v>
      </c>
      <c r="C56" s="482"/>
    </row>
    <row r="57" spans="1:3" ht="15" customHeight="1" thickBot="1">
      <c r="A57" s="471" t="str">
        <f>'KV_9.2.sz.mell'!A57</f>
        <v>13</v>
      </c>
      <c r="B57" s="470" t="str">
        <f>'KV_9.2.sz.mell'!B57</f>
        <v>KIADÁSOK ÖSSZESEN: (7+12)</v>
      </c>
      <c r="C57" s="490">
        <f>+C45+C51+C56</f>
        <v>23724000</v>
      </c>
    </row>
    <row r="58" ht="14.25" customHeight="1" thickBot="1">
      <c r="C58" s="491">
        <f>C42-C57</f>
        <v>0</v>
      </c>
    </row>
    <row r="59" spans="1:3" ht="13.5" thickBot="1">
      <c r="A59" s="162" t="str">
        <f>'KV_9.2.sz.mell'!A59</f>
        <v>Éves tervezett létszám előirányzat (fő)</v>
      </c>
      <c r="B59" s="163"/>
      <c r="C59" s="492">
        <v>2</v>
      </c>
    </row>
    <row r="60" spans="1:3" ht="13.5" thickBot="1">
      <c r="A60" s="162" t="str">
        <f>'KV_9.2.sz.mell'!A60</f>
        <v>Közfoglalkoztatottak létszáma (fő)</v>
      </c>
      <c r="B60" s="163"/>
      <c r="C60" s="492"/>
    </row>
  </sheetData>
  <sheetProtection formatCells="0"/>
  <mergeCells count="3">
    <mergeCell ref="A2:B2"/>
    <mergeCell ref="A3:B3"/>
    <mergeCell ref="A5:A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120" zoomScaleNormal="120" zoomScalePageLayoutView="0" workbookViewId="0" topLeftCell="A1">
      <selection activeCell="I13" sqref="I13"/>
    </sheetView>
  </sheetViews>
  <sheetFormatPr defaultColWidth="9.00390625" defaultRowHeight="12.75"/>
  <cols>
    <col min="1" max="1" width="33.50390625" style="0" customWidth="1"/>
    <col min="2" max="2" width="21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22.00390625" style="0" customWidth="1"/>
    <col min="7" max="7" width="1.875" style="0" bestFit="1" customWidth="1"/>
    <col min="8" max="8" width="28.125" style="0" customWidth="1"/>
    <col min="11" max="18" width="9.375" style="0" hidden="1" customWidth="1"/>
    <col min="19" max="20" width="0" style="0" hidden="1" customWidth="1"/>
  </cols>
  <sheetData>
    <row r="1" spans="1:12" ht="18.75">
      <c r="A1" s="820" t="s">
        <v>332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</row>
    <row r="3" spans="1:11" ht="15.75">
      <c r="A3" s="822" t="s">
        <v>620</v>
      </c>
      <c r="B3" s="822"/>
      <c r="C3" s="822"/>
      <c r="D3" s="822"/>
      <c r="E3" s="822"/>
      <c r="F3" s="822"/>
      <c r="G3" s="822"/>
      <c r="H3" s="822"/>
      <c r="I3" s="386"/>
      <c r="J3" s="386"/>
      <c r="K3" s="386"/>
    </row>
    <row r="6" ht="15">
      <c r="A6" s="341" t="s">
        <v>421</v>
      </c>
    </row>
    <row r="7" spans="1:12" ht="12.75">
      <c r="A7" s="387" t="s">
        <v>402</v>
      </c>
      <c r="B7" s="390" t="s">
        <v>401</v>
      </c>
      <c r="C7" s="386" t="s">
        <v>398</v>
      </c>
      <c r="D7" s="149" t="str">
        <f>CONCATENATE(TARTALOMJEGYZÉK!A1,".")</f>
        <v>2023.</v>
      </c>
      <c r="E7" s="386" t="s">
        <v>399</v>
      </c>
      <c r="F7" s="390" t="s">
        <v>401</v>
      </c>
      <c r="G7" s="386" t="s">
        <v>400</v>
      </c>
      <c r="H7" s="149" t="s">
        <v>403</v>
      </c>
      <c r="I7" s="386"/>
      <c r="J7" s="386"/>
      <c r="K7" s="386"/>
      <c r="L7" s="386"/>
    </row>
    <row r="8" spans="1:6" ht="12.75">
      <c r="A8" s="352"/>
      <c r="B8" s="351"/>
      <c r="F8" s="351"/>
    </row>
    <row r="9" spans="1:6" ht="12.75">
      <c r="A9" s="352"/>
      <c r="B9" s="351"/>
      <c r="F9" s="351"/>
    </row>
    <row r="10" spans="9:11" ht="13.5" thickBot="1">
      <c r="I10" s="414" t="s">
        <v>615</v>
      </c>
      <c r="J10" s="414"/>
      <c r="K10" s="414"/>
    </row>
    <row r="11" spans="1:18" ht="17.25" thickBot="1" thickTop="1">
      <c r="A11" s="822" t="s">
        <v>621</v>
      </c>
      <c r="B11" s="822"/>
      <c r="C11" s="822"/>
      <c r="D11" s="822"/>
      <c r="E11" s="822"/>
      <c r="F11" s="822"/>
      <c r="G11" s="822"/>
      <c r="H11" s="822"/>
      <c r="I11" s="443" t="s">
        <v>433</v>
      </c>
      <c r="K11" s="415" t="s">
        <v>24</v>
      </c>
      <c r="L11" t="s">
        <v>24</v>
      </c>
      <c r="M11" t="s">
        <v>24</v>
      </c>
      <c r="N11">
        <f>IF($I$11="Nem","",2)</f>
        <v>2</v>
      </c>
      <c r="O11" t="s">
        <v>427</v>
      </c>
      <c r="P11" t="str">
        <f>CONCATENATE(K11,N11,O11)</f>
        <v>9.2.</v>
      </c>
      <c r="Q11" t="str">
        <f>CONCATENATE(L11,N11,O11)</f>
        <v>9.2.</v>
      </c>
      <c r="R11" t="str">
        <f>CONCATENATE(M11,N11,O11)</f>
        <v>9.2.</v>
      </c>
    </row>
    <row r="12" ht="13.5" thickTop="1"/>
    <row r="13" spans="1:18" ht="14.25">
      <c r="A13" s="349" t="s">
        <v>334</v>
      </c>
      <c r="B13" s="821" t="s">
        <v>622</v>
      </c>
      <c r="C13" s="821"/>
      <c r="D13" s="821"/>
      <c r="E13" s="821"/>
      <c r="F13" s="821"/>
      <c r="G13" s="821"/>
      <c r="H13" s="821"/>
      <c r="I13" s="386"/>
      <c r="J13" s="386"/>
      <c r="K13" s="415" t="s">
        <v>24</v>
      </c>
      <c r="L13" t="s">
        <v>24</v>
      </c>
      <c r="M13" t="s">
        <v>24</v>
      </c>
      <c r="N13">
        <f>IF(I11="Nem",2,3)</f>
        <v>3</v>
      </c>
      <c r="O13" t="s">
        <v>427</v>
      </c>
      <c r="P13" t="str">
        <f>CONCATENATE(K13,N13,O13)</f>
        <v>9.3.</v>
      </c>
      <c r="Q13" t="str">
        <f>CONCATENATE(L13,N13,O13)</f>
        <v>9.3.</v>
      </c>
      <c r="R13" t="str">
        <f>CONCATENATE(M13,N13,O13)</f>
        <v>9.3.</v>
      </c>
    </row>
    <row r="14" spans="2:10" ht="14.25">
      <c r="B14" s="388"/>
      <c r="C14" s="386"/>
      <c r="D14" s="386"/>
      <c r="E14" s="386"/>
      <c r="F14" s="386"/>
      <c r="G14" s="386"/>
      <c r="H14" s="386"/>
      <c r="I14" s="386"/>
      <c r="J14" s="386"/>
    </row>
    <row r="15" spans="1:18" ht="14.25">
      <c r="A15" s="349" t="s">
        <v>335</v>
      </c>
      <c r="B15" s="821" t="s">
        <v>343</v>
      </c>
      <c r="C15" s="821"/>
      <c r="D15" s="821"/>
      <c r="E15" s="821"/>
      <c r="F15" s="821"/>
      <c r="G15" s="821"/>
      <c r="H15" s="821"/>
      <c r="I15" s="386"/>
      <c r="J15" s="386"/>
      <c r="K15" s="415" t="s">
        <v>24</v>
      </c>
      <c r="L15" t="s">
        <v>24</v>
      </c>
      <c r="M15" t="s">
        <v>24</v>
      </c>
      <c r="N15">
        <f>N13+1</f>
        <v>4</v>
      </c>
      <c r="O15" t="s">
        <v>427</v>
      </c>
      <c r="P15" t="str">
        <f>CONCATENATE(K15,N15,O15)</f>
        <v>9.4.</v>
      </c>
      <c r="Q15" t="str">
        <f>CONCATENATE(L15,N15,O15)</f>
        <v>9.4.</v>
      </c>
      <c r="R15" t="str">
        <f>CONCATENATE(M15,N15,O15)</f>
        <v>9.4.</v>
      </c>
    </row>
    <row r="16" spans="2:10" ht="14.25">
      <c r="B16" s="388"/>
      <c r="C16" s="386"/>
      <c r="D16" s="386"/>
      <c r="E16" s="386"/>
      <c r="F16" s="386"/>
      <c r="G16" s="386"/>
      <c r="H16" s="386"/>
      <c r="I16" s="386"/>
      <c r="J16" s="386"/>
    </row>
    <row r="17" spans="1:18" ht="14.25">
      <c r="A17" s="349" t="s">
        <v>336</v>
      </c>
      <c r="B17" s="821" t="s">
        <v>344</v>
      </c>
      <c r="C17" s="821"/>
      <c r="D17" s="821"/>
      <c r="E17" s="821"/>
      <c r="F17" s="821"/>
      <c r="G17" s="821"/>
      <c r="H17" s="821"/>
      <c r="I17" s="386"/>
      <c r="J17" s="386"/>
      <c r="K17" s="415" t="s">
        <v>24</v>
      </c>
      <c r="L17" t="s">
        <v>24</v>
      </c>
      <c r="M17" t="s">
        <v>24</v>
      </c>
      <c r="N17">
        <f>N15+1</f>
        <v>5</v>
      </c>
      <c r="O17" t="s">
        <v>427</v>
      </c>
      <c r="P17" t="str">
        <f>CONCATENATE(K17,N17,O17)</f>
        <v>9.5.</v>
      </c>
      <c r="Q17" t="str">
        <f>CONCATENATE(L17,N17,O17)</f>
        <v>9.5.</v>
      </c>
      <c r="R17" t="str">
        <f>CONCATENATE(M17,N17,O17)</f>
        <v>9.5.</v>
      </c>
    </row>
    <row r="18" spans="2:10" ht="14.25">
      <c r="B18" s="388"/>
      <c r="C18" s="386"/>
      <c r="D18" s="386"/>
      <c r="E18" s="386"/>
      <c r="F18" s="386"/>
      <c r="G18" s="386"/>
      <c r="H18" s="386"/>
      <c r="I18" s="386"/>
      <c r="J18" s="386"/>
    </row>
    <row r="19" spans="1:18" ht="14.25">
      <c r="A19" s="349" t="s">
        <v>337</v>
      </c>
      <c r="B19" s="821" t="s">
        <v>345</v>
      </c>
      <c r="C19" s="821"/>
      <c r="D19" s="821"/>
      <c r="E19" s="821"/>
      <c r="F19" s="821"/>
      <c r="G19" s="821"/>
      <c r="H19" s="821"/>
      <c r="I19" s="386"/>
      <c r="J19" s="386"/>
      <c r="K19" s="415" t="s">
        <v>24</v>
      </c>
      <c r="L19" t="s">
        <v>24</v>
      </c>
      <c r="M19" t="s">
        <v>24</v>
      </c>
      <c r="N19">
        <f>N17+1</f>
        <v>6</v>
      </c>
      <c r="O19" t="s">
        <v>427</v>
      </c>
      <c r="P19" t="str">
        <f>CONCATENATE(K19,N19,O19)</f>
        <v>9.6.</v>
      </c>
      <c r="Q19" t="str">
        <f>CONCATENATE(L19,N19,O19)</f>
        <v>9.6.</v>
      </c>
      <c r="R19" t="str">
        <f>CONCATENATE(M19,N19,O19)</f>
        <v>9.6.</v>
      </c>
    </row>
    <row r="20" spans="2:10" ht="14.25">
      <c r="B20" s="388"/>
      <c r="C20" s="386"/>
      <c r="D20" s="386"/>
      <c r="E20" s="386"/>
      <c r="F20" s="386"/>
      <c r="G20" s="386"/>
      <c r="H20" s="386"/>
      <c r="I20" s="386"/>
      <c r="J20" s="386"/>
    </row>
    <row r="21" spans="1:18" ht="14.25">
      <c r="A21" s="349" t="s">
        <v>338</v>
      </c>
      <c r="B21" s="821" t="s">
        <v>346</v>
      </c>
      <c r="C21" s="821"/>
      <c r="D21" s="821"/>
      <c r="E21" s="821"/>
      <c r="F21" s="821"/>
      <c r="G21" s="821"/>
      <c r="H21" s="821"/>
      <c r="I21" s="386"/>
      <c r="J21" s="386"/>
      <c r="K21" s="415" t="s">
        <v>24</v>
      </c>
      <c r="L21" t="s">
        <v>24</v>
      </c>
      <c r="M21" t="s">
        <v>24</v>
      </c>
      <c r="N21">
        <f>N19+1</f>
        <v>7</v>
      </c>
      <c r="O21" t="s">
        <v>427</v>
      </c>
      <c r="P21" t="str">
        <f>CONCATENATE(K21,N21,O21)</f>
        <v>9.7.</v>
      </c>
      <c r="Q21" t="str">
        <f>CONCATENATE(L21,N21,O21)</f>
        <v>9.7.</v>
      </c>
      <c r="R21" t="str">
        <f>CONCATENATE(M21,N21,O21)</f>
        <v>9.7.</v>
      </c>
    </row>
    <row r="22" spans="2:10" ht="14.25">
      <c r="B22" s="388"/>
      <c r="C22" s="386"/>
      <c r="D22" s="386"/>
      <c r="E22" s="386"/>
      <c r="F22" s="386"/>
      <c r="G22" s="386"/>
      <c r="H22" s="386"/>
      <c r="I22" s="386"/>
      <c r="J22" s="386"/>
    </row>
    <row r="23" spans="1:18" ht="14.25">
      <c r="A23" s="349" t="s">
        <v>339</v>
      </c>
      <c r="B23" s="821" t="s">
        <v>347</v>
      </c>
      <c r="C23" s="821"/>
      <c r="D23" s="821"/>
      <c r="E23" s="821"/>
      <c r="F23" s="821"/>
      <c r="G23" s="821"/>
      <c r="H23" s="821"/>
      <c r="I23" s="386"/>
      <c r="J23" s="386"/>
      <c r="K23" s="415" t="s">
        <v>24</v>
      </c>
      <c r="L23" t="s">
        <v>24</v>
      </c>
      <c r="M23" t="s">
        <v>24</v>
      </c>
      <c r="N23">
        <f>N21+1</f>
        <v>8</v>
      </c>
      <c r="O23" t="s">
        <v>427</v>
      </c>
      <c r="P23" t="str">
        <f>CONCATENATE(K23,N23,O23)</f>
        <v>9.8.</v>
      </c>
      <c r="Q23" t="str">
        <f>CONCATENATE(L23,N23,O23)</f>
        <v>9.8.</v>
      </c>
      <c r="R23" t="str">
        <f>CONCATENATE(M23,N23,O23)</f>
        <v>9.8.</v>
      </c>
    </row>
    <row r="24" spans="2:10" ht="14.25">
      <c r="B24" s="388"/>
      <c r="C24" s="386"/>
      <c r="D24" s="386"/>
      <c r="E24" s="386"/>
      <c r="F24" s="386"/>
      <c r="G24" s="386"/>
      <c r="H24" s="386"/>
      <c r="I24" s="386"/>
      <c r="J24" s="386"/>
    </row>
    <row r="25" spans="1:18" ht="14.25">
      <c r="A25" s="349" t="s">
        <v>340</v>
      </c>
      <c r="B25" s="821" t="s">
        <v>348</v>
      </c>
      <c r="C25" s="821"/>
      <c r="D25" s="821"/>
      <c r="E25" s="821"/>
      <c r="F25" s="821"/>
      <c r="G25" s="821"/>
      <c r="H25" s="821"/>
      <c r="I25" s="386"/>
      <c r="J25" s="386"/>
      <c r="K25" s="415" t="s">
        <v>24</v>
      </c>
      <c r="L25" t="s">
        <v>24</v>
      </c>
      <c r="M25" t="s">
        <v>24</v>
      </c>
      <c r="N25">
        <f>N23+1</f>
        <v>9</v>
      </c>
      <c r="O25" t="s">
        <v>427</v>
      </c>
      <c r="P25" t="str">
        <f>CONCATENATE(K25,N25,O25)</f>
        <v>9.9.</v>
      </c>
      <c r="Q25" t="str">
        <f>CONCATENATE(L25,N25,O25)</f>
        <v>9.9.</v>
      </c>
      <c r="R25" t="str">
        <f>CONCATENATE(M25,N25,O25)</f>
        <v>9.9.</v>
      </c>
    </row>
    <row r="26" spans="2:10" ht="14.25">
      <c r="B26" s="388"/>
      <c r="C26" s="386"/>
      <c r="D26" s="386"/>
      <c r="E26" s="386"/>
      <c r="F26" s="386"/>
      <c r="G26" s="386"/>
      <c r="H26" s="386"/>
      <c r="I26" s="386"/>
      <c r="J26" s="386"/>
    </row>
    <row r="27" spans="1:18" ht="14.25">
      <c r="A27" s="349" t="s">
        <v>341</v>
      </c>
      <c r="B27" s="821" t="s">
        <v>349</v>
      </c>
      <c r="C27" s="821"/>
      <c r="D27" s="821"/>
      <c r="E27" s="821"/>
      <c r="F27" s="821"/>
      <c r="G27" s="821"/>
      <c r="H27" s="821"/>
      <c r="I27" s="386"/>
      <c r="J27" s="386"/>
      <c r="K27" s="415" t="s">
        <v>24</v>
      </c>
      <c r="L27" t="s">
        <v>24</v>
      </c>
      <c r="M27" t="s">
        <v>24</v>
      </c>
      <c r="N27">
        <f>N25+1</f>
        <v>10</v>
      </c>
      <c r="O27" t="s">
        <v>427</v>
      </c>
      <c r="P27" t="str">
        <f>CONCATENATE(K27,N27,O27)</f>
        <v>9.10.</v>
      </c>
      <c r="Q27" t="str">
        <f>CONCATENATE(L27,N27,O27)</f>
        <v>9.10.</v>
      </c>
      <c r="R27" t="str">
        <f>CONCATENATE(M27,N27,O27)</f>
        <v>9.10.</v>
      </c>
    </row>
    <row r="28" spans="2:10" ht="14.25">
      <c r="B28" s="388"/>
      <c r="C28" s="386"/>
      <c r="D28" s="386"/>
      <c r="E28" s="386"/>
      <c r="F28" s="386"/>
      <c r="G28" s="386"/>
      <c r="H28" s="386"/>
      <c r="I28" s="386"/>
      <c r="J28" s="386"/>
    </row>
    <row r="29" spans="1:18" ht="14.25">
      <c r="A29" s="349" t="s">
        <v>341</v>
      </c>
      <c r="B29" s="821" t="s">
        <v>350</v>
      </c>
      <c r="C29" s="821"/>
      <c r="D29" s="821"/>
      <c r="E29" s="821"/>
      <c r="F29" s="821"/>
      <c r="G29" s="821"/>
      <c r="H29" s="821"/>
      <c r="I29" s="386"/>
      <c r="J29" s="386"/>
      <c r="K29" s="415" t="s">
        <v>24</v>
      </c>
      <c r="L29" t="s">
        <v>24</v>
      </c>
      <c r="M29" t="s">
        <v>24</v>
      </c>
      <c r="N29">
        <f>N27+1</f>
        <v>11</v>
      </c>
      <c r="O29" t="s">
        <v>427</v>
      </c>
      <c r="P29" t="str">
        <f>CONCATENATE(K29,N29,O29)</f>
        <v>9.11.</v>
      </c>
      <c r="Q29" t="str">
        <f>CONCATENATE(L29,N29,O29)</f>
        <v>9.11.</v>
      </c>
      <c r="R29" t="str">
        <f>CONCATENATE(M29,N29,O29)</f>
        <v>9.11.</v>
      </c>
    </row>
    <row r="30" spans="2:10" ht="14.25">
      <c r="B30" s="388"/>
      <c r="C30" s="386"/>
      <c r="D30" s="386"/>
      <c r="E30" s="386"/>
      <c r="F30" s="386"/>
      <c r="G30" s="386"/>
      <c r="H30" s="386"/>
      <c r="I30" s="386"/>
      <c r="J30" s="386"/>
    </row>
    <row r="31" spans="1:18" ht="14.25">
      <c r="A31" s="349" t="s">
        <v>342</v>
      </c>
      <c r="B31" s="821" t="s">
        <v>351</v>
      </c>
      <c r="C31" s="821"/>
      <c r="D31" s="821"/>
      <c r="E31" s="821"/>
      <c r="F31" s="821"/>
      <c r="G31" s="821"/>
      <c r="H31" s="821"/>
      <c r="I31" s="386"/>
      <c r="J31" s="386"/>
      <c r="K31" s="415" t="s">
        <v>24</v>
      </c>
      <c r="L31" t="s">
        <v>24</v>
      </c>
      <c r="M31" t="s">
        <v>24</v>
      </c>
      <c r="N31">
        <f>N29+1</f>
        <v>12</v>
      </c>
      <c r="O31" t="s">
        <v>427</v>
      </c>
      <c r="P31" t="str">
        <f>CONCATENATE(K31,N31,O31)</f>
        <v>9.12.</v>
      </c>
      <c r="Q31" t="str">
        <f>CONCATENATE(L31,N31,O31)</f>
        <v>9.12.</v>
      </c>
      <c r="R31" t="str">
        <f>CONCATENATE(M31,N31,O31)</f>
        <v>9.12.</v>
      </c>
    </row>
    <row r="32" spans="2:8" ht="12.75">
      <c r="B32" s="386"/>
      <c r="C32" s="386"/>
      <c r="D32" s="386"/>
      <c r="E32" s="386"/>
      <c r="F32" s="386"/>
      <c r="G32" s="386"/>
      <c r="H32" s="386"/>
    </row>
    <row r="33" ht="14.25">
      <c r="A33" s="349"/>
    </row>
  </sheetData>
  <sheetProtection sheet="1"/>
  <mergeCells count="13">
    <mergeCell ref="B25:H25"/>
    <mergeCell ref="B27:H27"/>
    <mergeCell ref="B29:H29"/>
    <mergeCell ref="B31:H31"/>
    <mergeCell ref="A3:H3"/>
    <mergeCell ref="A11:H11"/>
    <mergeCell ref="B13:H13"/>
    <mergeCell ref="A1:L1"/>
    <mergeCell ref="B15:H15"/>
    <mergeCell ref="B17:H17"/>
    <mergeCell ref="B19:H19"/>
    <mergeCell ref="B21:H21"/>
    <mergeCell ref="B23:H23"/>
  </mergeCells>
  <conditionalFormatting sqref="A11:H11">
    <cfRule type="expression" priority="1" dxfId="4" stopIfTrue="1">
      <formula>$I$11="Nem"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I11: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V23" sqref="V23"/>
    </sheetView>
  </sheetViews>
  <sheetFormatPr defaultColWidth="9.00390625" defaultRowHeight="12.75"/>
  <cols>
    <col min="1" max="1" width="5.50390625" style="25" customWidth="1"/>
    <col min="2" max="2" width="30.50390625" style="25" customWidth="1"/>
    <col min="3" max="3" width="12.375" style="25" customWidth="1"/>
    <col min="4" max="4" width="11.50390625" style="25" customWidth="1"/>
    <col min="5" max="5" width="11.375" style="25" customWidth="1"/>
    <col min="6" max="6" width="11.00390625" style="25" customWidth="1"/>
    <col min="7" max="7" width="14.375" style="25" customWidth="1"/>
    <col min="8" max="16384" width="9.375" style="25" customWidth="1"/>
  </cols>
  <sheetData>
    <row r="2" spans="2:7" ht="15">
      <c r="B2" s="912" t="str">
        <f>CONCATENATE("10. melléklet ",ALAPADATOK!A7," ",ALAPADATOK!B7," ",ALAPADATOK!C7," ",ALAPADATOK!D7," ",ALAPADATOK!E7," ",ALAPADATOK!F7," ",ALAPADATOK!G7," ",ALAPADATOK!H7)</f>
        <v>10. melléklet a … / 2023. ( … ) önkormányzati rendelethez</v>
      </c>
      <c r="C2" s="912"/>
      <c r="D2" s="912"/>
      <c r="E2" s="912"/>
      <c r="F2" s="912"/>
      <c r="G2" s="912"/>
    </row>
    <row r="4" spans="1:7" ht="43.5" customHeight="1">
      <c r="A4" s="911" t="s">
        <v>2</v>
      </c>
      <c r="B4" s="911"/>
      <c r="C4" s="911"/>
      <c r="D4" s="911"/>
      <c r="E4" s="911"/>
      <c r="F4" s="911"/>
      <c r="G4" s="911"/>
    </row>
    <row r="6" spans="1:7" s="113" customFormat="1" ht="27" customHeight="1">
      <c r="A6" s="410" t="s">
        <v>149</v>
      </c>
      <c r="C6" s="910" t="s">
        <v>620</v>
      </c>
      <c r="D6" s="910"/>
      <c r="E6" s="910"/>
      <c r="F6" s="910"/>
      <c r="G6" s="910"/>
    </row>
    <row r="7" s="113" customFormat="1" ht="15.75"/>
    <row r="8" spans="1:6" s="113" customFormat="1" ht="24.75" customHeight="1">
      <c r="A8" s="410" t="s">
        <v>150</v>
      </c>
      <c r="C8" s="910" t="s">
        <v>861</v>
      </c>
      <c r="D8" s="910"/>
      <c r="E8" s="910"/>
      <c r="F8" s="910"/>
    </row>
    <row r="9" s="114" customFormat="1" ht="12.75"/>
    <row r="10" spans="1:7" s="115" customFormat="1" ht="15" customHeight="1">
      <c r="A10" s="179" t="s">
        <v>863</v>
      </c>
      <c r="B10" s="178"/>
      <c r="C10" s="178"/>
      <c r="D10" s="178"/>
      <c r="E10" s="178"/>
      <c r="F10" s="178"/>
      <c r="G10" s="178"/>
    </row>
    <row r="11" spans="1:7" s="115" customFormat="1" ht="15" customHeight="1" thickBot="1">
      <c r="A11" s="179" t="s">
        <v>862</v>
      </c>
      <c r="B11" s="178"/>
      <c r="C11" s="178"/>
      <c r="D11" s="178"/>
      <c r="E11" s="178"/>
      <c r="F11" s="178"/>
      <c r="G11" s="574"/>
    </row>
    <row r="12" spans="1:7" s="49" customFormat="1" ht="42" customHeight="1" thickBot="1">
      <c r="A12" s="136" t="s">
        <v>14</v>
      </c>
      <c r="B12" s="137" t="s">
        <v>151</v>
      </c>
      <c r="C12" s="137" t="s">
        <v>152</v>
      </c>
      <c r="D12" s="137" t="s">
        <v>153</v>
      </c>
      <c r="E12" s="137" t="s">
        <v>154</v>
      </c>
      <c r="F12" s="137" t="s">
        <v>155</v>
      </c>
      <c r="G12" s="138" t="s">
        <v>50</v>
      </c>
    </row>
    <row r="13" spans="1:7" ht="24" customHeight="1">
      <c r="A13" s="165" t="s">
        <v>16</v>
      </c>
      <c r="B13" s="144" t="s">
        <v>156</v>
      </c>
      <c r="C13" s="116">
        <v>26821095</v>
      </c>
      <c r="D13" s="116"/>
      <c r="E13" s="116"/>
      <c r="F13" s="116"/>
      <c r="G13" s="166">
        <f>SUM(C13:F13)</f>
        <v>26821095</v>
      </c>
    </row>
    <row r="14" spans="1:7" ht="24" customHeight="1">
      <c r="A14" s="167" t="s">
        <v>17</v>
      </c>
      <c r="B14" s="145" t="s">
        <v>157</v>
      </c>
      <c r="C14" s="117"/>
      <c r="D14" s="117"/>
      <c r="E14" s="117"/>
      <c r="F14" s="117"/>
      <c r="G14" s="168">
        <f aca="true" t="shared" si="0" ref="G14:G19">SUM(C14:F14)</f>
        <v>0</v>
      </c>
    </row>
    <row r="15" spans="1:7" ht="24" customHeight="1">
      <c r="A15" s="167" t="s">
        <v>18</v>
      </c>
      <c r="B15" s="145" t="s">
        <v>158</v>
      </c>
      <c r="C15" s="117"/>
      <c r="D15" s="117"/>
      <c r="E15" s="117"/>
      <c r="F15" s="117"/>
      <c r="G15" s="168">
        <f t="shared" si="0"/>
        <v>0</v>
      </c>
    </row>
    <row r="16" spans="1:7" ht="24" customHeight="1">
      <c r="A16" s="167" t="s">
        <v>19</v>
      </c>
      <c r="B16" s="145" t="s">
        <v>159</v>
      </c>
      <c r="C16" s="117"/>
      <c r="D16" s="117"/>
      <c r="E16" s="117"/>
      <c r="F16" s="117"/>
      <c r="G16" s="168">
        <f t="shared" si="0"/>
        <v>0</v>
      </c>
    </row>
    <row r="17" spans="1:7" ht="24" customHeight="1">
      <c r="A17" s="167" t="s">
        <v>20</v>
      </c>
      <c r="B17" s="145" t="s">
        <v>160</v>
      </c>
      <c r="C17" s="117"/>
      <c r="D17" s="117"/>
      <c r="E17" s="117"/>
      <c r="F17" s="117"/>
      <c r="G17" s="168">
        <f t="shared" si="0"/>
        <v>0</v>
      </c>
    </row>
    <row r="18" spans="1:7" ht="24" customHeight="1" thickBot="1">
      <c r="A18" s="169" t="s">
        <v>21</v>
      </c>
      <c r="B18" s="170" t="s">
        <v>161</v>
      </c>
      <c r="C18" s="811"/>
      <c r="D18" s="118">
        <v>63500</v>
      </c>
      <c r="E18" s="118"/>
      <c r="F18" s="118"/>
      <c r="G18" s="171">
        <f t="shared" si="0"/>
        <v>63500</v>
      </c>
    </row>
    <row r="19" spans="1:7" s="119" customFormat="1" ht="24" customHeight="1" thickBot="1">
      <c r="A19" s="172" t="s">
        <v>22</v>
      </c>
      <c r="B19" s="173" t="s">
        <v>50</v>
      </c>
      <c r="C19" s="174">
        <f>SUM(C13:C18)</f>
        <v>26821095</v>
      </c>
      <c r="D19" s="174">
        <f>SUM(D13:D18)</f>
        <v>63500</v>
      </c>
      <c r="E19" s="174">
        <f>SUM(E13:E18)</f>
        <v>0</v>
      </c>
      <c r="F19" s="174">
        <f>SUM(F13:F18)</f>
        <v>0</v>
      </c>
      <c r="G19" s="175">
        <f t="shared" si="0"/>
        <v>26884595</v>
      </c>
    </row>
    <row r="20" spans="1:7" s="114" customFormat="1" ht="12.75">
      <c r="A20" s="150"/>
      <c r="B20" s="150"/>
      <c r="C20" s="150"/>
      <c r="D20" s="150"/>
      <c r="E20" s="150"/>
      <c r="F20" s="150"/>
      <c r="G20" s="150"/>
    </row>
    <row r="21" spans="1:7" s="114" customFormat="1" ht="12.75">
      <c r="A21" s="150"/>
      <c r="B21" s="150"/>
      <c r="C21" s="150"/>
      <c r="D21" s="150"/>
      <c r="E21" s="150"/>
      <c r="F21" s="150"/>
      <c r="G21" s="150"/>
    </row>
    <row r="22" spans="1:7" s="114" customFormat="1" ht="12.75">
      <c r="A22" s="150"/>
      <c r="B22" s="150"/>
      <c r="C22" s="150"/>
      <c r="D22" s="150"/>
      <c r="E22" s="150"/>
      <c r="F22" s="150"/>
      <c r="G22" s="150"/>
    </row>
    <row r="23" spans="1:7" s="114" customFormat="1" ht="15.75">
      <c r="A23" s="913" t="s">
        <v>435</v>
      </c>
      <c r="B23" s="914"/>
      <c r="C23" s="914"/>
      <c r="D23" s="914"/>
      <c r="G23" s="150"/>
    </row>
    <row r="24" spans="1:7" s="114" customFormat="1" ht="12.75">
      <c r="A24" s="150"/>
      <c r="B24" s="150"/>
      <c r="C24" s="150"/>
      <c r="D24" s="150"/>
      <c r="E24" s="150"/>
      <c r="F24" s="150"/>
      <c r="G24" s="150"/>
    </row>
    <row r="25" spans="1:7" ht="12.75">
      <c r="A25" s="150"/>
      <c r="B25" s="150"/>
      <c r="C25" s="150"/>
      <c r="D25" s="150"/>
      <c r="E25" s="150"/>
      <c r="F25" s="150"/>
      <c r="G25" s="150"/>
    </row>
    <row r="26" spans="1:7" ht="12.75">
      <c r="A26" s="150"/>
      <c r="B26" s="150"/>
      <c r="C26" s="114"/>
      <c r="D26" s="114"/>
      <c r="E26" s="114"/>
      <c r="F26" s="114"/>
      <c r="G26" s="150"/>
    </row>
    <row r="27" spans="1:7" ht="13.5">
      <c r="A27" s="150"/>
      <c r="B27" s="150"/>
      <c r="C27" s="176"/>
      <c r="D27" s="177" t="s">
        <v>162</v>
      </c>
      <c r="E27" s="177"/>
      <c r="F27" s="176"/>
      <c r="G27" s="150"/>
    </row>
    <row r="28" spans="3:6" ht="13.5">
      <c r="C28" s="120"/>
      <c r="D28" s="121"/>
      <c r="E28" s="121"/>
      <c r="F28" s="120"/>
    </row>
    <row r="29" spans="3:6" ht="13.5">
      <c r="C29" s="120"/>
      <c r="D29" s="121"/>
      <c r="E29" s="121"/>
      <c r="F29" s="120"/>
    </row>
  </sheetData>
  <sheetProtection/>
  <mergeCells count="5">
    <mergeCell ref="C6:G6"/>
    <mergeCell ref="C8:F8"/>
    <mergeCell ref="A4:G4"/>
    <mergeCell ref="B2:G2"/>
    <mergeCell ref="A23:D23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40"/>
  <sheetViews>
    <sheetView zoomScale="120" zoomScaleNormal="120" zoomScalePageLayoutView="120" workbookViewId="0" topLeftCell="A1">
      <selection activeCell="B4" sqref="B4"/>
    </sheetView>
  </sheetViews>
  <sheetFormatPr defaultColWidth="9.00390625" defaultRowHeight="12.75"/>
  <cols>
    <col min="1" max="1" width="13.875" style="25" customWidth="1"/>
    <col min="2" max="2" width="88.625" style="25" customWidth="1"/>
    <col min="3" max="3" width="16.875" style="25" customWidth="1"/>
    <col min="4" max="16384" width="9.375" style="25" customWidth="1"/>
  </cols>
  <sheetData>
    <row r="1" spans="2:3" ht="12.75">
      <c r="B1" s="917" t="s">
        <v>876</v>
      </c>
      <c r="C1" s="863"/>
    </row>
    <row r="2" spans="2:3" ht="47.25" customHeight="1">
      <c r="B2" s="915" t="str">
        <f>+CONCATENATE("A ",LEFT(KV_ÖSSZEFÜGGÉSEK!A5,4),". évi általános működés és ágazati feladatok támogatásának alakulása jogcímenként")</f>
        <v>A 2023. évi általános működés és ágazati feladatok támogatásának alakulása jogcímenként</v>
      </c>
      <c r="C2" s="915"/>
    </row>
    <row r="3" spans="2:3" ht="22.5" customHeight="1" thickBot="1">
      <c r="B3" s="250"/>
      <c r="C3" s="411" t="s">
        <v>319</v>
      </c>
    </row>
    <row r="4" spans="1:3" s="26" customFormat="1" ht="63" customHeight="1" thickBot="1">
      <c r="A4" s="412" t="s">
        <v>617</v>
      </c>
      <c r="B4" s="204" t="s">
        <v>49</v>
      </c>
      <c r="C4" s="389" t="str">
        <f>+CONCATENATE(LEFT(KV_ÖSSZEFÜGGÉSEK!A5,4),". évi tervezett támogatás összesen")</f>
        <v>2023. évi tervezett támogatás összesen</v>
      </c>
    </row>
    <row r="5" spans="1:3" s="27" customFormat="1" ht="13.5" thickBot="1">
      <c r="A5" s="413" t="s">
        <v>294</v>
      </c>
      <c r="B5" s="129" t="s">
        <v>295</v>
      </c>
      <c r="C5" s="130" t="s">
        <v>296</v>
      </c>
    </row>
    <row r="6" spans="1:3" ht="12.75">
      <c r="A6" s="661" t="s">
        <v>623</v>
      </c>
      <c r="B6" s="661" t="s">
        <v>624</v>
      </c>
      <c r="C6" s="656">
        <v>147484816</v>
      </c>
    </row>
    <row r="7" spans="1:3" ht="12.75">
      <c r="A7" s="661" t="s">
        <v>625</v>
      </c>
      <c r="B7" s="661" t="s">
        <v>626</v>
      </c>
      <c r="C7" s="657">
        <v>9674600</v>
      </c>
    </row>
    <row r="8" spans="1:3" ht="12.75">
      <c r="A8" s="661" t="s">
        <v>627</v>
      </c>
      <c r="B8" s="661" t="s">
        <v>628</v>
      </c>
      <c r="C8" s="657">
        <v>14204000</v>
      </c>
    </row>
    <row r="9" spans="1:3" ht="12.75">
      <c r="A9" s="661" t="s">
        <v>629</v>
      </c>
      <c r="B9" s="661" t="s">
        <v>630</v>
      </c>
      <c r="C9" s="657">
        <v>3020305</v>
      </c>
    </row>
    <row r="10" spans="1:3" ht="12.75" customHeight="1">
      <c r="A10" s="661" t="s">
        <v>631</v>
      </c>
      <c r="B10" s="661" t="s">
        <v>632</v>
      </c>
      <c r="C10" s="657">
        <v>8269485</v>
      </c>
    </row>
    <row r="11" spans="1:3" ht="12.75">
      <c r="A11" s="661" t="s">
        <v>633</v>
      </c>
      <c r="B11" s="661" t="s">
        <v>634</v>
      </c>
      <c r="C11" s="657">
        <v>17726800</v>
      </c>
    </row>
    <row r="12" spans="1:3" ht="12.75">
      <c r="A12" s="661" t="s">
        <v>635</v>
      </c>
      <c r="B12" s="661" t="s">
        <v>636</v>
      </c>
      <c r="C12" s="657">
        <v>150450</v>
      </c>
    </row>
    <row r="13" spans="1:3" ht="12.75" customHeight="1">
      <c r="A13" s="662" t="s">
        <v>637</v>
      </c>
      <c r="B13" s="661" t="s">
        <v>638</v>
      </c>
      <c r="C13" s="657">
        <v>12190000</v>
      </c>
    </row>
    <row r="14" spans="1:3" ht="12.75">
      <c r="A14" s="663" t="s">
        <v>639</v>
      </c>
      <c r="B14" s="663" t="s">
        <v>640</v>
      </c>
      <c r="C14" s="658">
        <f>C6+C7+C8+C9+C10+C11+C12+C13</f>
        <v>212720456</v>
      </c>
    </row>
    <row r="15" spans="1:3" ht="12.75">
      <c r="A15" s="661" t="s">
        <v>641</v>
      </c>
      <c r="B15" s="661" t="s">
        <v>642</v>
      </c>
      <c r="C15" s="657">
        <v>34580000</v>
      </c>
    </row>
    <row r="16" spans="1:3" ht="12.75">
      <c r="A16" s="664" t="s">
        <v>643</v>
      </c>
      <c r="B16" s="661" t="s">
        <v>644</v>
      </c>
      <c r="C16" s="657">
        <v>11150000</v>
      </c>
    </row>
    <row r="17" spans="1:3" ht="12.75">
      <c r="A17" s="661" t="s">
        <v>645</v>
      </c>
      <c r="B17" s="661" t="s">
        <v>646</v>
      </c>
      <c r="C17" s="657">
        <v>125783310</v>
      </c>
    </row>
    <row r="18" spans="1:3" ht="12.75" customHeight="1">
      <c r="A18" s="661" t="s">
        <v>647</v>
      </c>
      <c r="B18" s="661" t="s">
        <v>648</v>
      </c>
      <c r="C18" s="657">
        <v>4536593</v>
      </c>
    </row>
    <row r="19" spans="1:3" ht="12.75">
      <c r="A19" s="661" t="s">
        <v>649</v>
      </c>
      <c r="B19" s="661" t="s">
        <v>650</v>
      </c>
      <c r="C19" s="657">
        <v>4058000</v>
      </c>
    </row>
    <row r="20" spans="1:3" ht="12.75">
      <c r="A20" s="661" t="s">
        <v>651</v>
      </c>
      <c r="B20" s="661" t="s">
        <v>652</v>
      </c>
      <c r="C20" s="657">
        <v>62048000</v>
      </c>
    </row>
    <row r="21" spans="1:3" ht="12.75">
      <c r="A21" s="663" t="s">
        <v>653</v>
      </c>
      <c r="B21" s="663" t="s">
        <v>654</v>
      </c>
      <c r="C21" s="658">
        <f>SUM(C15:C20)</f>
        <v>242155903</v>
      </c>
    </row>
    <row r="22" spans="1:3" ht="12.75">
      <c r="A22" s="663" t="s">
        <v>655</v>
      </c>
      <c r="B22" s="663" t="s">
        <v>656</v>
      </c>
      <c r="C22" s="658">
        <v>8719198</v>
      </c>
    </row>
    <row r="23" spans="1:3" ht="12.75">
      <c r="A23" s="661" t="s">
        <v>657</v>
      </c>
      <c r="B23" s="661" t="s">
        <v>658</v>
      </c>
      <c r="C23" s="657">
        <v>7011950</v>
      </c>
    </row>
    <row r="24" spans="1:3" ht="12.75">
      <c r="A24" s="661" t="s">
        <v>659</v>
      </c>
      <c r="B24" s="661" t="s">
        <v>660</v>
      </c>
      <c r="C24" s="657">
        <v>42747680</v>
      </c>
    </row>
    <row r="25" spans="1:3" ht="12.75">
      <c r="A25" s="661" t="s">
        <v>661</v>
      </c>
      <c r="B25" s="661" t="s">
        <v>662</v>
      </c>
      <c r="C25" s="657">
        <v>12294260</v>
      </c>
    </row>
    <row r="26" spans="1:3" ht="12.75">
      <c r="A26" s="665" t="s">
        <v>663</v>
      </c>
      <c r="B26" s="665" t="s">
        <v>664</v>
      </c>
      <c r="C26" s="658">
        <f>SUM(C23:C25)</f>
        <v>62053890</v>
      </c>
    </row>
    <row r="27" spans="1:3" ht="12.75" customHeight="1">
      <c r="A27" s="661" t="s">
        <v>665</v>
      </c>
      <c r="B27" s="661" t="s">
        <v>666</v>
      </c>
      <c r="C27" s="657">
        <v>27265000</v>
      </c>
    </row>
    <row r="28" spans="1:3" ht="12.75">
      <c r="A28" s="661" t="s">
        <v>667</v>
      </c>
      <c r="B28" s="661" t="s">
        <v>668</v>
      </c>
      <c r="C28" s="657">
        <v>3434685</v>
      </c>
    </row>
    <row r="29" spans="1:3" ht="12.75">
      <c r="A29" s="666" t="s">
        <v>669</v>
      </c>
      <c r="B29" s="665" t="s">
        <v>670</v>
      </c>
      <c r="C29" s="658">
        <f>SUM(C27+C28)</f>
        <v>30699685</v>
      </c>
    </row>
    <row r="30" spans="1:3" ht="12.75">
      <c r="A30" s="661" t="s">
        <v>671</v>
      </c>
      <c r="B30" s="661" t="s">
        <v>672</v>
      </c>
      <c r="C30" s="657">
        <v>43555839</v>
      </c>
    </row>
    <row r="31" spans="1:3" ht="12.75">
      <c r="A31" s="661" t="s">
        <v>673</v>
      </c>
      <c r="B31" s="661" t="s">
        <v>674</v>
      </c>
      <c r="C31" s="657">
        <v>56365679</v>
      </c>
    </row>
    <row r="32" spans="1:3" ht="12.75">
      <c r="A32" s="661" t="s">
        <v>675</v>
      </c>
      <c r="B32" s="661" t="s">
        <v>676</v>
      </c>
      <c r="C32" s="657">
        <v>246240</v>
      </c>
    </row>
    <row r="33" spans="1:3" ht="12.75">
      <c r="A33" s="663" t="s">
        <v>677</v>
      </c>
      <c r="B33" s="663" t="s">
        <v>678</v>
      </c>
      <c r="C33" s="658">
        <f>SUM(C30:C32)</f>
        <v>100167758</v>
      </c>
    </row>
    <row r="34" spans="1:3" ht="12.75">
      <c r="A34" s="661" t="s">
        <v>679</v>
      </c>
      <c r="B34" s="661" t="s">
        <v>680</v>
      </c>
      <c r="C34" s="657">
        <v>14010503</v>
      </c>
    </row>
    <row r="35" spans="1:3" ht="12.75">
      <c r="A35" s="769">
        <v>37014</v>
      </c>
      <c r="B35" s="661" t="s">
        <v>844</v>
      </c>
      <c r="C35" s="768">
        <v>4047853</v>
      </c>
    </row>
    <row r="36" spans="1:3" ht="13.5" thickBot="1">
      <c r="A36" s="663" t="s">
        <v>681</v>
      </c>
      <c r="B36" s="663" t="s">
        <v>682</v>
      </c>
      <c r="C36" s="659">
        <f>SUM(C34:C35)</f>
        <v>18058356</v>
      </c>
    </row>
    <row r="37" spans="1:3" s="28" customFormat="1" ht="12.75" customHeight="1" thickBot="1">
      <c r="A37" s="653"/>
      <c r="B37" s="636" t="s">
        <v>50</v>
      </c>
      <c r="C37" s="660">
        <f>C14+C21+C22+C26+C29+C33+C36</f>
        <v>674575246</v>
      </c>
    </row>
    <row r="38" spans="1:2" ht="12.75">
      <c r="A38" s="916" t="s">
        <v>618</v>
      </c>
      <c r="B38" s="916"/>
    </row>
    <row r="40" spans="1:3" ht="12.75">
      <c r="A40" s="415" t="s">
        <v>683</v>
      </c>
      <c r="B40" s="415" t="s">
        <v>684</v>
      </c>
      <c r="C40" s="667">
        <v>-23951645</v>
      </c>
    </row>
  </sheetData>
  <sheetProtection/>
  <mergeCells count="3">
    <mergeCell ref="B2:C2"/>
    <mergeCell ref="A38:B38"/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6"/>
  <sheetViews>
    <sheetView zoomScale="120" zoomScaleNormal="120" workbookViewId="0" topLeftCell="A1">
      <selection activeCell="I23" sqref="I22:I23"/>
    </sheetView>
  </sheetViews>
  <sheetFormatPr defaultColWidth="9.00390625" defaultRowHeight="12.75"/>
  <cols>
    <col min="1" max="1" width="6.625" style="0" customWidth="1"/>
    <col min="2" max="2" width="66.125" style="0" customWidth="1"/>
    <col min="3" max="3" width="26.375" style="0" customWidth="1"/>
  </cols>
  <sheetData>
    <row r="1" spans="2:3" ht="12.75">
      <c r="B1" s="863" t="str">
        <f>CONCATENATE("12. melléklet ",ALAPADATOK!A7," ",ALAPADATOK!B7," ",ALAPADATOK!C7," ",ALAPADATOK!D7," ",ALAPADATOK!E7," ",ALAPADATOK!F7," ",ALAPADATOK!G7," ",ALAPADATOK!H7)</f>
        <v>12. melléklet a … / 2023. ( … ) önkormányzati rendelethez</v>
      </c>
      <c r="C1" s="863"/>
    </row>
    <row r="2" spans="1:3" ht="45" customHeight="1">
      <c r="A2" s="918" t="str">
        <f>+CONCATENATE("K I M U T A T Á S",CHAR(10),"a ",LEFT(KV_ÖSSZEFÜGGÉSEK!A5,4),". évben céljelleggel juttatott támogatásokról")</f>
        <v>K I M U T A T Á S
a 2023. évben céljelleggel juttatott támogatásokról</v>
      </c>
      <c r="B2" s="918"/>
      <c r="C2" s="918"/>
    </row>
    <row r="3" spans="1:3" ht="17.25" customHeight="1">
      <c r="A3" s="249"/>
      <c r="B3" s="249"/>
      <c r="C3" s="249"/>
    </row>
    <row r="4" spans="1:3" ht="13.5" thickBot="1">
      <c r="A4" s="149"/>
      <c r="B4" s="149"/>
      <c r="C4" s="767"/>
    </row>
    <row r="5" spans="1:3" ht="42.75" customHeight="1" thickBot="1">
      <c r="A5" s="669" t="s">
        <v>65</v>
      </c>
      <c r="B5" s="670" t="s">
        <v>91</v>
      </c>
      <c r="C5" s="671" t="s">
        <v>426</v>
      </c>
    </row>
    <row r="6" spans="1:3" ht="30" customHeight="1" thickBot="1">
      <c r="A6" s="672" t="s">
        <v>16</v>
      </c>
      <c r="B6" s="693" t="s">
        <v>695</v>
      </c>
      <c r="C6" s="681">
        <f>SUM(C7:C34)</f>
        <v>597023168</v>
      </c>
    </row>
    <row r="7" spans="1:3" ht="15.75" customHeight="1">
      <c r="A7" s="672" t="s">
        <v>17</v>
      </c>
      <c r="B7" s="647" t="s">
        <v>696</v>
      </c>
      <c r="C7" s="673">
        <v>26918821</v>
      </c>
    </row>
    <row r="8" spans="1:3" ht="15.75" customHeight="1">
      <c r="A8" s="672" t="s">
        <v>18</v>
      </c>
      <c r="B8" s="647" t="s">
        <v>697</v>
      </c>
      <c r="C8" s="673">
        <v>8235093</v>
      </c>
    </row>
    <row r="9" spans="1:3" ht="15.75" customHeight="1">
      <c r="A9" s="672" t="s">
        <v>19</v>
      </c>
      <c r="B9" s="674" t="s">
        <v>698</v>
      </c>
      <c r="C9" s="675">
        <v>42747680</v>
      </c>
    </row>
    <row r="10" spans="1:3" ht="15.75" customHeight="1">
      <c r="A10" s="672" t="s">
        <v>20</v>
      </c>
      <c r="B10" s="647" t="s">
        <v>699</v>
      </c>
      <c r="C10" s="678">
        <v>6127440</v>
      </c>
    </row>
    <row r="11" spans="1:3" ht="15.75" customHeight="1">
      <c r="A11" s="672" t="s">
        <v>21</v>
      </c>
      <c r="B11" s="674" t="s">
        <v>700</v>
      </c>
      <c r="C11" s="675">
        <v>12294260</v>
      </c>
    </row>
    <row r="12" spans="1:3" ht="15.75" customHeight="1">
      <c r="A12" s="672" t="s">
        <v>22</v>
      </c>
      <c r="B12" s="647" t="s">
        <v>701</v>
      </c>
      <c r="C12" s="673">
        <v>18003317</v>
      </c>
    </row>
    <row r="13" spans="1:3" ht="21">
      <c r="A13" s="672" t="s">
        <v>23</v>
      </c>
      <c r="B13" s="674" t="s">
        <v>881</v>
      </c>
      <c r="C13" s="675">
        <v>8719198</v>
      </c>
    </row>
    <row r="14" spans="1:3" ht="15.75" customHeight="1">
      <c r="A14" s="672" t="s">
        <v>24</v>
      </c>
      <c r="B14" s="647" t="s">
        <v>702</v>
      </c>
      <c r="C14" s="673">
        <v>3260330</v>
      </c>
    </row>
    <row r="15" spans="1:3" ht="15.75" customHeight="1">
      <c r="A15" s="672" t="s">
        <v>25</v>
      </c>
      <c r="B15" s="647" t="s">
        <v>703</v>
      </c>
      <c r="C15" s="673">
        <v>4623146</v>
      </c>
    </row>
    <row r="16" spans="1:3" ht="12.75">
      <c r="A16" s="672" t="s">
        <v>26</v>
      </c>
      <c r="B16" s="647" t="s">
        <v>704</v>
      </c>
      <c r="C16" s="673">
        <v>22466950</v>
      </c>
    </row>
    <row r="17" spans="1:3" ht="12.75">
      <c r="A17" s="672" t="s">
        <v>27</v>
      </c>
      <c r="B17" s="674" t="s">
        <v>705</v>
      </c>
      <c r="C17" s="675">
        <v>7011950</v>
      </c>
    </row>
    <row r="18" spans="1:3" ht="15.75" customHeight="1">
      <c r="A18" s="672" t="s">
        <v>28</v>
      </c>
      <c r="B18" s="676" t="s">
        <v>706</v>
      </c>
      <c r="C18" s="673">
        <v>2469100</v>
      </c>
    </row>
    <row r="19" spans="1:3" ht="15.75" customHeight="1">
      <c r="A19" s="672" t="s">
        <v>29</v>
      </c>
      <c r="B19" s="674" t="s">
        <v>707</v>
      </c>
      <c r="C19" s="675">
        <v>45730000</v>
      </c>
    </row>
    <row r="20" spans="1:3" ht="15.75" customHeight="1">
      <c r="A20" s="672" t="s">
        <v>30</v>
      </c>
      <c r="B20" s="674" t="s">
        <v>708</v>
      </c>
      <c r="C20" s="675">
        <v>125783310</v>
      </c>
    </row>
    <row r="21" spans="1:3" ht="12.75">
      <c r="A21" s="672" t="s">
        <v>31</v>
      </c>
      <c r="B21" s="674" t="s">
        <v>709</v>
      </c>
      <c r="C21" s="758">
        <v>4536593</v>
      </c>
    </row>
    <row r="22" spans="1:3" ht="15.75" customHeight="1">
      <c r="A22" s="672" t="s">
        <v>32</v>
      </c>
      <c r="B22" s="674" t="s">
        <v>710</v>
      </c>
      <c r="C22" s="675">
        <v>4058000</v>
      </c>
    </row>
    <row r="23" spans="1:3" ht="15.75" customHeight="1">
      <c r="A23" s="672" t="s">
        <v>33</v>
      </c>
      <c r="B23" s="674" t="s">
        <v>711</v>
      </c>
      <c r="C23" s="675">
        <v>62048000</v>
      </c>
    </row>
    <row r="24" spans="1:3" ht="15.75" customHeight="1">
      <c r="A24" s="672" t="s">
        <v>34</v>
      </c>
      <c r="B24" s="674" t="s">
        <v>712</v>
      </c>
      <c r="C24" s="675">
        <v>30699685</v>
      </c>
    </row>
    <row r="25" spans="1:3" ht="15.75" customHeight="1">
      <c r="A25" s="672" t="s">
        <v>35</v>
      </c>
      <c r="B25" s="674" t="s">
        <v>713</v>
      </c>
      <c r="C25" s="675">
        <v>100167758</v>
      </c>
    </row>
    <row r="26" spans="1:3" ht="15.75" customHeight="1">
      <c r="A26" s="672" t="s">
        <v>36</v>
      </c>
      <c r="B26" s="677" t="s">
        <v>714</v>
      </c>
      <c r="C26" s="678">
        <v>51235121</v>
      </c>
    </row>
    <row r="27" spans="1:3" ht="15.75" customHeight="1">
      <c r="A27" s="672" t="s">
        <v>37</v>
      </c>
      <c r="B27" s="647" t="s">
        <v>715</v>
      </c>
      <c r="C27" s="673">
        <v>4962350</v>
      </c>
    </row>
    <row r="28" spans="1:3" ht="15.75" customHeight="1">
      <c r="A28" s="672" t="s">
        <v>38</v>
      </c>
      <c r="B28" s="679" t="s">
        <v>716</v>
      </c>
      <c r="C28" s="673">
        <v>500000</v>
      </c>
    </row>
    <row r="29" spans="1:3" ht="15.75" customHeight="1">
      <c r="A29" s="672" t="s">
        <v>39</v>
      </c>
      <c r="B29" s="679" t="s">
        <v>717</v>
      </c>
      <c r="C29" s="673">
        <v>200000</v>
      </c>
    </row>
    <row r="30" spans="1:3" ht="15.75" customHeight="1">
      <c r="A30" s="672" t="s">
        <v>40</v>
      </c>
      <c r="B30" s="679" t="s">
        <v>718</v>
      </c>
      <c r="C30" s="673">
        <v>1600000</v>
      </c>
    </row>
    <row r="31" spans="1:3" ht="22.5" customHeight="1">
      <c r="A31" s="672" t="s">
        <v>41</v>
      </c>
      <c r="B31" s="679" t="s">
        <v>883</v>
      </c>
      <c r="C31" s="684">
        <v>91051</v>
      </c>
    </row>
    <row r="32" spans="1:3" ht="15.75" customHeight="1">
      <c r="A32" s="672" t="s">
        <v>42</v>
      </c>
      <c r="B32" s="679" t="s">
        <v>853</v>
      </c>
      <c r="C32" s="684">
        <v>928784</v>
      </c>
    </row>
    <row r="33" spans="1:3" ht="15.75" customHeight="1">
      <c r="A33" s="672" t="s">
        <v>43</v>
      </c>
      <c r="B33" s="804" t="s">
        <v>854</v>
      </c>
      <c r="C33" s="689">
        <v>726483</v>
      </c>
    </row>
    <row r="34" spans="1:3" ht="15.75" customHeight="1" thickBot="1">
      <c r="A34" s="672" t="s">
        <v>44</v>
      </c>
      <c r="B34" s="788" t="s">
        <v>719</v>
      </c>
      <c r="C34" s="717">
        <v>878748</v>
      </c>
    </row>
    <row r="35" spans="1:3" ht="26.25" customHeight="1" thickBot="1">
      <c r="A35" s="672" t="s">
        <v>92</v>
      </c>
      <c r="B35" s="680" t="s">
        <v>720</v>
      </c>
      <c r="C35" s="681">
        <f>SUM(C36:C61)</f>
        <v>237644000</v>
      </c>
    </row>
    <row r="36" spans="1:3" ht="15.75" customHeight="1">
      <c r="A36" s="672" t="s">
        <v>93</v>
      </c>
      <c r="B36" s="804" t="s">
        <v>845</v>
      </c>
      <c r="C36" s="690">
        <v>800000</v>
      </c>
    </row>
    <row r="37" spans="1:3" ht="15.75" customHeight="1">
      <c r="A37" s="672" t="s">
        <v>94</v>
      </c>
      <c r="B37" s="679" t="s">
        <v>722</v>
      </c>
      <c r="C37" s="691">
        <v>10500000</v>
      </c>
    </row>
    <row r="38" spans="1:3" ht="15.75" customHeight="1">
      <c r="A38" s="672" t="s">
        <v>95</v>
      </c>
      <c r="B38" s="679" t="s">
        <v>837</v>
      </c>
      <c r="C38" s="691">
        <v>888000</v>
      </c>
    </row>
    <row r="39" spans="1:3" ht="12.75">
      <c r="A39" s="672" t="s">
        <v>721</v>
      </c>
      <c r="B39" s="685" t="s">
        <v>725</v>
      </c>
      <c r="C39" s="691">
        <v>300000</v>
      </c>
    </row>
    <row r="40" spans="1:3" ht="12.75">
      <c r="A40" s="672" t="s">
        <v>723</v>
      </c>
      <c r="B40" s="642" t="s">
        <v>727</v>
      </c>
      <c r="C40" s="691">
        <v>1000000</v>
      </c>
    </row>
    <row r="41" spans="1:3" ht="12.75">
      <c r="A41" s="672" t="s">
        <v>724</v>
      </c>
      <c r="B41" s="642" t="s">
        <v>729</v>
      </c>
      <c r="C41" s="691">
        <v>3250000</v>
      </c>
    </row>
    <row r="42" spans="1:3" ht="12.75">
      <c r="A42" s="672" t="s">
        <v>726</v>
      </c>
      <c r="B42" s="642" t="s">
        <v>731</v>
      </c>
      <c r="C42" s="691">
        <v>300000</v>
      </c>
    </row>
    <row r="43" spans="1:3" ht="12.75">
      <c r="A43" s="672" t="s">
        <v>728</v>
      </c>
      <c r="B43" s="642" t="s">
        <v>733</v>
      </c>
      <c r="C43" s="691">
        <v>500000</v>
      </c>
    </row>
    <row r="44" spans="1:3" ht="12.75">
      <c r="A44" s="672" t="s">
        <v>730</v>
      </c>
      <c r="B44" s="642" t="s">
        <v>735</v>
      </c>
      <c r="C44" s="691">
        <v>1500000</v>
      </c>
    </row>
    <row r="45" spans="1:3" ht="12.75">
      <c r="A45" s="672" t="s">
        <v>732</v>
      </c>
      <c r="B45" s="642" t="s">
        <v>737</v>
      </c>
      <c r="C45" s="691">
        <v>400000</v>
      </c>
    </row>
    <row r="46" spans="1:3" ht="12.75">
      <c r="A46" s="672" t="s">
        <v>734</v>
      </c>
      <c r="B46" s="642" t="s">
        <v>739</v>
      </c>
      <c r="C46" s="691">
        <v>400000</v>
      </c>
    </row>
    <row r="47" spans="1:3" ht="12.75">
      <c r="A47" s="672" t="s">
        <v>736</v>
      </c>
      <c r="B47" s="812" t="s">
        <v>741</v>
      </c>
      <c r="C47" s="691">
        <v>1000000</v>
      </c>
    </row>
    <row r="48" spans="1:3" ht="12.75">
      <c r="A48" s="672" t="s">
        <v>738</v>
      </c>
      <c r="B48" s="812" t="s">
        <v>743</v>
      </c>
      <c r="C48" s="691">
        <v>1200000</v>
      </c>
    </row>
    <row r="49" spans="1:3" ht="12.75">
      <c r="A49" s="672" t="s">
        <v>740</v>
      </c>
      <c r="B49" s="683" t="s">
        <v>745</v>
      </c>
      <c r="C49" s="673">
        <v>35449000</v>
      </c>
    </row>
    <row r="50" spans="1:3" ht="12.75">
      <c r="A50" s="672" t="s">
        <v>742</v>
      </c>
      <c r="B50" s="683" t="s">
        <v>882</v>
      </c>
      <c r="C50" s="673">
        <v>1380000</v>
      </c>
    </row>
    <row r="51" spans="1:3" ht="12.75">
      <c r="A51" s="672" t="s">
        <v>744</v>
      </c>
      <c r="B51" s="683" t="s">
        <v>747</v>
      </c>
      <c r="C51" s="673">
        <v>2492000</v>
      </c>
    </row>
    <row r="52" spans="1:3" ht="12.75">
      <c r="A52" s="672" t="s">
        <v>746</v>
      </c>
      <c r="B52" s="683" t="s">
        <v>749</v>
      </c>
      <c r="C52" s="673">
        <v>4590000</v>
      </c>
    </row>
    <row r="53" spans="1:3" ht="21">
      <c r="A53" s="672" t="s">
        <v>748</v>
      </c>
      <c r="B53" s="683" t="s">
        <v>751</v>
      </c>
      <c r="C53" s="673">
        <v>3840000</v>
      </c>
    </row>
    <row r="54" spans="1:3" ht="12.75">
      <c r="A54" s="672" t="s">
        <v>750</v>
      </c>
      <c r="B54" s="682" t="s">
        <v>753</v>
      </c>
      <c r="C54" s="684">
        <v>72198000</v>
      </c>
    </row>
    <row r="55" spans="1:3" ht="12.75">
      <c r="A55" s="672" t="s">
        <v>846</v>
      </c>
      <c r="B55" s="682" t="s">
        <v>755</v>
      </c>
      <c r="C55" s="673">
        <v>48000000</v>
      </c>
    </row>
    <row r="56" spans="1:3" ht="12.75">
      <c r="A56" s="672" t="s">
        <v>847</v>
      </c>
      <c r="B56" s="770" t="s">
        <v>840</v>
      </c>
      <c r="C56" s="673">
        <v>4000000</v>
      </c>
    </row>
    <row r="57" spans="1:3" ht="12.75">
      <c r="A57" s="672" t="s">
        <v>752</v>
      </c>
      <c r="B57" s="682" t="s">
        <v>757</v>
      </c>
      <c r="C57" s="673">
        <v>4400000</v>
      </c>
    </row>
    <row r="58" spans="1:3" ht="12.75">
      <c r="A58" s="672" t="s">
        <v>754</v>
      </c>
      <c r="B58" s="682" t="s">
        <v>759</v>
      </c>
      <c r="C58" s="673">
        <v>17865000</v>
      </c>
    </row>
    <row r="59" spans="1:3" ht="12.75">
      <c r="A59" s="672" t="s">
        <v>756</v>
      </c>
      <c r="B59" s="682" t="s">
        <v>761</v>
      </c>
      <c r="C59" s="673">
        <v>17832000</v>
      </c>
    </row>
    <row r="60" spans="1:3" ht="12.75">
      <c r="A60" s="672" t="s">
        <v>758</v>
      </c>
      <c r="B60" s="685" t="s">
        <v>764</v>
      </c>
      <c r="C60" s="684">
        <v>60000</v>
      </c>
    </row>
    <row r="61" spans="1:3" ht="13.5" thickBot="1">
      <c r="A61" s="672" t="s">
        <v>760</v>
      </c>
      <c r="B61" s="685" t="s">
        <v>838</v>
      </c>
      <c r="C61" s="689">
        <v>3500000</v>
      </c>
    </row>
    <row r="62" spans="1:3" ht="23.25" customHeight="1" thickBot="1">
      <c r="A62" s="672" t="s">
        <v>762</v>
      </c>
      <c r="B62" s="687" t="s">
        <v>765</v>
      </c>
      <c r="C62" s="681">
        <f>SUM(C63:C63)</f>
        <v>215900</v>
      </c>
    </row>
    <row r="63" spans="1:3" ht="13.5" thickBot="1">
      <c r="A63" s="672" t="s">
        <v>763</v>
      </c>
      <c r="B63" s="686" t="s">
        <v>766</v>
      </c>
      <c r="C63" s="673">
        <v>215900</v>
      </c>
    </row>
    <row r="64" spans="1:3" ht="20.25" customHeight="1" thickBot="1">
      <c r="A64" s="672" t="s">
        <v>848</v>
      </c>
      <c r="B64" s="687" t="s">
        <v>767</v>
      </c>
      <c r="C64" s="681">
        <f>C65</f>
        <v>0</v>
      </c>
    </row>
    <row r="65" spans="1:3" ht="13.5" thickBot="1">
      <c r="A65" s="672" t="s">
        <v>855</v>
      </c>
      <c r="B65" s="688"/>
      <c r="C65" s="689"/>
    </row>
    <row r="66" spans="1:3" ht="13.5" thickBot="1">
      <c r="A66" s="919" t="s">
        <v>50</v>
      </c>
      <c r="B66" s="920"/>
      <c r="C66" s="692">
        <f>C64+C62+C35+C6</f>
        <v>834883068</v>
      </c>
    </row>
  </sheetData>
  <sheetProtection/>
  <mergeCells count="3">
    <mergeCell ref="A2:C2"/>
    <mergeCell ref="A66:B66"/>
    <mergeCell ref="B1:C1"/>
  </mergeCells>
  <conditionalFormatting sqref="C66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1"/>
  <sheetViews>
    <sheetView zoomScale="120" zoomScaleNormal="120" zoomScaleSheetLayoutView="100" workbookViewId="0" topLeftCell="B1">
      <selection activeCell="I30" sqref="I30"/>
    </sheetView>
  </sheetViews>
  <sheetFormatPr defaultColWidth="9.00390625" defaultRowHeight="12.75"/>
  <cols>
    <col min="1" max="1" width="7.875" style="509" customWidth="1"/>
    <col min="2" max="2" width="58.875" style="254" customWidth="1"/>
    <col min="3" max="3" width="13.125" style="255" customWidth="1"/>
    <col min="4" max="4" width="13.00390625" style="254" bestFit="1" customWidth="1"/>
    <col min="5" max="5" width="14.125" style="254" customWidth="1"/>
    <col min="6" max="6" width="9.00390625" style="18" customWidth="1"/>
    <col min="7" max="16384" width="9.375" style="18" customWidth="1"/>
  </cols>
  <sheetData>
    <row r="1" spans="2:5" ht="14.25" customHeight="1">
      <c r="B1" s="863" t="s">
        <v>864</v>
      </c>
      <c r="C1" s="863"/>
      <c r="D1" s="863"/>
      <c r="E1" s="863"/>
    </row>
    <row r="2" spans="1:5" ht="15.75">
      <c r="A2" s="921" t="str">
        <f>CONCATENATE(ALAPADATOK!A3)</f>
        <v>Bátaszék Város Önkormányzata</v>
      </c>
      <c r="B2" s="921"/>
      <c r="C2" s="921"/>
      <c r="D2" s="921"/>
      <c r="E2" s="921"/>
    </row>
    <row r="3" spans="1:5" ht="15.75">
      <c r="A3" s="921" t="str">
        <f>CONCATENATE("Tájékoztató a ",LEFT(ALAPADATOK!D7,4)-2,". évi tény, ",LEFT(ALAPADATOK!D7,4)-1,". évi tény és ",LEFT(ALAPADATOK!D7,4),". évi terv adatokról")</f>
        <v>Tájékoztató a 2021. évi tény, 2022. évi tény és 2023. évi terv adatokról</v>
      </c>
      <c r="B3" s="921"/>
      <c r="C3" s="921"/>
      <c r="D3" s="921"/>
      <c r="E3" s="921"/>
    </row>
    <row r="4" spans="1:5" ht="15.75" customHeight="1">
      <c r="A4" s="829" t="s">
        <v>13</v>
      </c>
      <c r="B4" s="829"/>
      <c r="C4" s="829"/>
      <c r="D4" s="829"/>
      <c r="E4" s="829"/>
    </row>
    <row r="5" spans="1:5" ht="15.75" customHeight="1" thickBot="1">
      <c r="A5" s="827"/>
      <c r="B5" s="827"/>
      <c r="C5" s="493"/>
      <c r="D5" s="922" t="s">
        <v>319</v>
      </c>
      <c r="E5" s="922"/>
    </row>
    <row r="6" spans="1:5" ht="30.75" customHeight="1" thickBot="1">
      <c r="A6" s="510" t="s">
        <v>65</v>
      </c>
      <c r="B6" s="615" t="s">
        <v>15</v>
      </c>
      <c r="C6" s="612" t="str">
        <f>+CONCATENATE(LEFT(KV_ÖSSZEFÜGGÉSEK!A5,4)-2,". évi tény")</f>
        <v>2021. évi tény</v>
      </c>
      <c r="D6" s="612" t="str">
        <f>+CONCATENATE(LEFT(KV_ÖSSZEFÜGGÉSEK!A5,4)-1,". évi tény")</f>
        <v>2022. évi tény</v>
      </c>
      <c r="E6" s="112" t="str">
        <f>+'KV_1.1.sz.mell.'!C8</f>
        <v>2023. évi előirányzat</v>
      </c>
    </row>
    <row r="7" spans="1:5" s="19" customFormat="1" ht="12" customHeight="1" thickBot="1">
      <c r="A7" s="447" t="s">
        <v>294</v>
      </c>
      <c r="B7" s="616" t="s">
        <v>295</v>
      </c>
      <c r="C7" s="613" t="s">
        <v>296</v>
      </c>
      <c r="D7" s="613" t="s">
        <v>298</v>
      </c>
      <c r="E7" s="275" t="s">
        <v>297</v>
      </c>
    </row>
    <row r="8" spans="1:5" s="1" customFormat="1" ht="12" customHeight="1" thickBot="1">
      <c r="A8" s="447">
        <f>'KV_1.1.sz.mell.'!A10</f>
        <v>1</v>
      </c>
      <c r="B8" s="617" t="str">
        <f>'KV_1.1.sz.mell.'!B10</f>
        <v>Működési célú támogatások államháztartáson belülről (10+…+11+…+14)</v>
      </c>
      <c r="C8" s="772">
        <f>C17+C18+C19+C20+C21</f>
        <v>759183425</v>
      </c>
      <c r="D8" s="772">
        <f>D17+D18+D19+D20+D21</f>
        <v>887323575</v>
      </c>
      <c r="E8" s="180">
        <f>E17+E18+E19+E20+E21</f>
        <v>796895146</v>
      </c>
    </row>
    <row r="9" spans="1:5" s="1" customFormat="1" ht="12" customHeight="1">
      <c r="A9" s="444" t="str">
        <f>'KV_1.1.sz.mell.'!A11</f>
        <v>2</v>
      </c>
      <c r="B9" s="618" t="str">
        <f>'KV_1.1.sz.mell.'!B11</f>
        <v>Helyi önkormányzatok működésének általános támogatása</v>
      </c>
      <c r="C9" s="773">
        <v>201247966</v>
      </c>
      <c r="D9" s="773">
        <v>201665587</v>
      </c>
      <c r="E9" s="668">
        <v>212720456</v>
      </c>
    </row>
    <row r="10" spans="1:5" s="1" customFormat="1" ht="12" customHeight="1">
      <c r="A10" s="444" t="str">
        <f>'KV_1.1.sz.mell.'!A12</f>
        <v>3</v>
      </c>
      <c r="B10" s="619" t="str">
        <f>'KV_1.1.sz.mell.'!B12</f>
        <v>Önkormányzatok egyes köznevelési feladatainak támogatása</v>
      </c>
      <c r="C10" s="708">
        <v>210172630</v>
      </c>
      <c r="D10" s="708">
        <v>234551380</v>
      </c>
      <c r="E10" s="668">
        <v>242155903</v>
      </c>
    </row>
    <row r="11" spans="1:5" s="1" customFormat="1" ht="12" customHeight="1">
      <c r="A11" s="444" t="str">
        <f>'KV_1.1.sz.mell.'!A13</f>
        <v>4</v>
      </c>
      <c r="B11" s="619" t="str">
        <f>'KV_1.1.sz.mell.'!B13</f>
        <v>Önkormányzatok szociális és gyermekjóléti feladatainak támogatása</v>
      </c>
      <c r="C11" s="708">
        <v>97709077</v>
      </c>
      <c r="D11" s="708">
        <v>112688449</v>
      </c>
      <c r="E11" s="668">
        <v>101472773</v>
      </c>
    </row>
    <row r="12" spans="1:5" s="1" customFormat="1" ht="12" customHeight="1">
      <c r="A12" s="444" t="str">
        <f>'KV_1.1.sz.mell.'!A14</f>
        <v>5</v>
      </c>
      <c r="B12" s="619" t="str">
        <f>'KV_1.1.sz.mell.'!B14</f>
        <v>Önkormányzatok gyermekétkeztetési feladatainak támogatása</v>
      </c>
      <c r="C12" s="708">
        <v>71754264</v>
      </c>
      <c r="D12" s="708">
        <v>78928024</v>
      </c>
      <c r="E12" s="668">
        <v>100167758</v>
      </c>
    </row>
    <row r="13" spans="1:5" s="1" customFormat="1" ht="12" customHeight="1">
      <c r="A13" s="444" t="str">
        <f>'KV_1.1.sz.mell.'!A15</f>
        <v>6</v>
      </c>
      <c r="B13" s="619" t="str">
        <f>'KV_1.1.sz.mell.'!B15</f>
        <v>Önkormányzatok kulturális feladatainak támogatása</v>
      </c>
      <c r="C13" s="708">
        <v>15800850</v>
      </c>
      <c r="D13" s="708">
        <v>15462543</v>
      </c>
      <c r="E13" s="668">
        <v>18058356</v>
      </c>
    </row>
    <row r="14" spans="1:5" s="1" customFormat="1" ht="12" customHeight="1">
      <c r="A14" s="444" t="str">
        <f>'KV_1.1.sz.mell.'!A16</f>
        <v>7</v>
      </c>
      <c r="B14" s="620" t="str">
        <f>'KV_1.1.sz.mell.'!B16</f>
        <v>Működési célú kvi támogatások és kiegészítő támogatások </v>
      </c>
      <c r="C14" s="774">
        <v>45005210</v>
      </c>
      <c r="D14" s="774">
        <v>48917350</v>
      </c>
      <c r="E14" s="211"/>
    </row>
    <row r="15" spans="1:5" s="1" customFormat="1" ht="12" customHeight="1">
      <c r="A15" s="444" t="str">
        <f>'KV_1.1.sz.mell.'!A17</f>
        <v>8</v>
      </c>
      <c r="B15" s="619" t="str">
        <f>'KV_1.1.sz.mell.'!B17</f>
        <v>Elszámolásból származó bevételek</v>
      </c>
      <c r="C15" s="708">
        <v>3717938</v>
      </c>
      <c r="D15" s="708">
        <v>12132549</v>
      </c>
      <c r="E15" s="211"/>
    </row>
    <row r="16" spans="1:5" s="1" customFormat="1" ht="12" customHeight="1">
      <c r="A16" s="444" t="str">
        <f>'KV_1.1.sz.mell.'!A18</f>
        <v>9</v>
      </c>
      <c r="B16" s="621" t="str">
        <f>'KV_1.1.sz.mell.'!B18</f>
        <v>Elvonások és befizetések bevételei</v>
      </c>
      <c r="C16" s="773"/>
      <c r="D16" s="773"/>
      <c r="E16" s="634"/>
    </row>
    <row r="17" spans="1:5" s="1" customFormat="1" ht="12" customHeight="1">
      <c r="A17" s="444" t="str">
        <f>'KV_1.1.sz.mell.'!A19</f>
        <v>10</v>
      </c>
      <c r="B17" s="622" t="str">
        <f>'KV_1.1.sz.mell.'!B19</f>
        <v>Önkormányzat működési támogatásai (2+…+.9)</v>
      </c>
      <c r="C17" s="775">
        <f>SUM(C9:C16)</f>
        <v>645407935</v>
      </c>
      <c r="D17" s="775">
        <f>SUM(D9:D16)</f>
        <v>704345882</v>
      </c>
      <c r="E17" s="459">
        <f>SUM(E9:E16)</f>
        <v>674575246</v>
      </c>
    </row>
    <row r="18" spans="1:5" s="1" customFormat="1" ht="12" customHeight="1">
      <c r="A18" s="444" t="str">
        <f>'KV_1.1.sz.mell.'!A20</f>
        <v>11</v>
      </c>
      <c r="B18" s="618" t="str">
        <f>'KV_1.1.sz.mell.'!B20</f>
        <v>Működési célú garancia- és kezességvállalásból megtérülések </v>
      </c>
      <c r="C18" s="708"/>
      <c r="D18" s="708"/>
      <c r="E18" s="211"/>
    </row>
    <row r="19" spans="1:5" s="1" customFormat="1" ht="12" customHeight="1">
      <c r="A19" s="444" t="str">
        <f>'KV_1.1.sz.mell.'!A21</f>
        <v>12</v>
      </c>
      <c r="B19" s="619" t="str">
        <f>'KV_1.1.sz.mell.'!B21</f>
        <v>Működési célú visszatérítendő támogatások, kölcsönök visszatérülése </v>
      </c>
      <c r="C19" s="708"/>
      <c r="D19" s="708"/>
      <c r="E19" s="203"/>
    </row>
    <row r="20" spans="1:5" s="1" customFormat="1" ht="12" customHeight="1">
      <c r="A20" s="444" t="str">
        <f>'KV_1.1.sz.mell.'!A22</f>
        <v>13</v>
      </c>
      <c r="B20" s="619" t="str">
        <f>'KV_1.1.sz.mell.'!B22</f>
        <v>Működési célú visszatérítendő támogatások, kölcsönök igénybevétele</v>
      </c>
      <c r="C20" s="708"/>
      <c r="D20" s="708"/>
      <c r="E20" s="203"/>
    </row>
    <row r="21" spans="1:5" s="1" customFormat="1" ht="12" customHeight="1">
      <c r="A21" s="444" t="str">
        <f>'KV_1.1.sz.mell.'!A23</f>
        <v>14</v>
      </c>
      <c r="B21" s="619" t="str">
        <f>'KV_1.1.sz.mell.'!B23</f>
        <v>Egyéb működési célú támogatások bevételei </v>
      </c>
      <c r="C21" s="708">
        <v>113775490</v>
      </c>
      <c r="D21" s="708">
        <v>182977693</v>
      </c>
      <c r="E21" s="203">
        <v>122319900</v>
      </c>
    </row>
    <row r="22" spans="1:5" s="1" customFormat="1" ht="12" customHeight="1" thickBot="1">
      <c r="A22" s="444" t="str">
        <f>'KV_1.1.sz.mell.'!A24</f>
        <v>15</v>
      </c>
      <c r="B22" s="620" t="str">
        <f>'KV_1.1.sz.mell.'!B24</f>
        <v>14-ből EU-s támogatás</v>
      </c>
      <c r="C22" s="774">
        <v>1063363</v>
      </c>
      <c r="D22" s="774">
        <v>4069296</v>
      </c>
      <c r="E22" s="203"/>
    </row>
    <row r="23" spans="1:5" s="1" customFormat="1" ht="12" customHeight="1" thickBot="1">
      <c r="A23" s="447">
        <f>'KV_1.1.sz.mell.'!A25</f>
        <v>16</v>
      </c>
      <c r="B23" s="617" t="str">
        <f>'KV_1.1.sz.mell.'!B25</f>
        <v>Felhalmozási célú támogatások államháztartáson belülről (17+…+21)</v>
      </c>
      <c r="C23" s="772">
        <f>+C24+C25+C26+C27+C28</f>
        <v>167054558</v>
      </c>
      <c r="D23" s="772">
        <f>+D24+D25+D26+D27+D28</f>
        <v>47266016</v>
      </c>
      <c r="E23" s="180">
        <f>+E24+E25+E26+E27+E28</f>
        <v>54557620</v>
      </c>
    </row>
    <row r="24" spans="1:5" s="1" customFormat="1" ht="12" customHeight="1">
      <c r="A24" s="444" t="str">
        <f>'KV_1.1.sz.mell.'!A26</f>
        <v>17</v>
      </c>
      <c r="B24" s="618" t="str">
        <f>'KV_1.1.sz.mell.'!B26</f>
        <v>Felhalmozási célú önkormányzati támogatások</v>
      </c>
      <c r="C24" s="776">
        <v>103500000</v>
      </c>
      <c r="D24" s="776"/>
      <c r="E24" s="182"/>
    </row>
    <row r="25" spans="1:5" s="1" customFormat="1" ht="12" customHeight="1">
      <c r="A25" s="444" t="str">
        <f>'KV_1.1.sz.mell.'!A27</f>
        <v>18</v>
      </c>
      <c r="B25" s="619" t="str">
        <f>'KV_1.1.sz.mell.'!B27</f>
        <v>Felhalmozási célú garancia- és kezességvállalásból megtérülések</v>
      </c>
      <c r="C25" s="777"/>
      <c r="D25" s="777"/>
      <c r="E25" s="181"/>
    </row>
    <row r="26" spans="1:5" s="1" customFormat="1" ht="12" customHeight="1">
      <c r="A26" s="444" t="str">
        <f>'KV_1.1.sz.mell.'!A28</f>
        <v>19</v>
      </c>
      <c r="B26" s="619" t="str">
        <f>'KV_1.1.sz.mell.'!B28</f>
        <v>Felhalmozási célú visszatérítendő támogatások, kölcsönök visszatérülése</v>
      </c>
      <c r="C26" s="777"/>
      <c r="D26" s="777"/>
      <c r="E26" s="181"/>
    </row>
    <row r="27" spans="1:5" s="1" customFormat="1" ht="12" customHeight="1">
      <c r="A27" s="444" t="str">
        <f>'KV_1.1.sz.mell.'!A29</f>
        <v>20</v>
      </c>
      <c r="B27" s="619" t="str">
        <f>'KV_1.1.sz.mell.'!B29</f>
        <v>Felhalmozási célú visszatérítendő támogatások, kölcsönök igénybevétele</v>
      </c>
      <c r="C27" s="777"/>
      <c r="D27" s="777"/>
      <c r="E27" s="181"/>
    </row>
    <row r="28" spans="1:5" s="1" customFormat="1" ht="12" customHeight="1">
      <c r="A28" s="444" t="str">
        <f>'KV_1.1.sz.mell.'!A30</f>
        <v>21</v>
      </c>
      <c r="B28" s="619" t="str">
        <f>'KV_1.1.sz.mell.'!B30</f>
        <v>Egyéb felhalmozási célú támogatások bevételei</v>
      </c>
      <c r="C28" s="777">
        <v>63554558</v>
      </c>
      <c r="D28" s="777">
        <v>47266016</v>
      </c>
      <c r="E28" s="181">
        <v>54557620</v>
      </c>
    </row>
    <row r="29" spans="1:5" s="1" customFormat="1" ht="12" customHeight="1" thickBot="1">
      <c r="A29" s="444" t="str">
        <f>'KV_1.1.sz.mell.'!A31</f>
        <v>22</v>
      </c>
      <c r="B29" s="620" t="str">
        <f>'KV_1.1.sz.mell.'!B31</f>
        <v>   21-ből EU-s támogatás</v>
      </c>
      <c r="C29" s="778">
        <v>43554558</v>
      </c>
      <c r="D29" s="778">
        <v>47266016</v>
      </c>
      <c r="E29" s="181">
        <v>54557620</v>
      </c>
    </row>
    <row r="30" spans="1:5" s="1" customFormat="1" ht="12" customHeight="1" thickBot="1">
      <c r="A30" s="447">
        <f>'KV_1.1.sz.mell.'!A32</f>
        <v>23</v>
      </c>
      <c r="B30" s="617" t="str">
        <f>'KV_1.1.sz.mell.'!B32</f>
        <v>Közhatalmi bevételek (24+…+30)</v>
      </c>
      <c r="C30" s="779">
        <f>SUM(C31:C37)</f>
        <v>312454529</v>
      </c>
      <c r="D30" s="779">
        <f>SUM(D31:D37)</f>
        <v>344304102</v>
      </c>
      <c r="E30" s="274">
        <f>SUM(E31:E37)</f>
        <v>369000000</v>
      </c>
    </row>
    <row r="31" spans="1:5" s="1" customFormat="1" ht="12" customHeight="1">
      <c r="A31" s="444" t="str">
        <f>'KV_1.1.sz.mell.'!A33</f>
        <v>24</v>
      </c>
      <c r="B31" s="618" t="str">
        <f>'KV_1.1.sz.mell.'!B33</f>
        <v>Építményadó</v>
      </c>
      <c r="C31" s="776"/>
      <c r="D31" s="776"/>
      <c r="E31" s="182"/>
    </row>
    <row r="32" spans="1:5" s="1" customFormat="1" ht="12" customHeight="1">
      <c r="A32" s="444" t="str">
        <f>'KV_1.1.sz.mell.'!A34</f>
        <v>25</v>
      </c>
      <c r="B32" s="618" t="str">
        <f>'KV_1.1.sz.mell.'!B34</f>
        <v>Magánszemélyek kommunális adója</v>
      </c>
      <c r="C32" s="777">
        <v>32171181</v>
      </c>
      <c r="D32" s="777">
        <v>31519438</v>
      </c>
      <c r="E32" s="181">
        <v>32000000</v>
      </c>
    </row>
    <row r="33" spans="1:5" s="1" customFormat="1" ht="12" customHeight="1">
      <c r="A33" s="444" t="str">
        <f>'KV_1.1.sz.mell.'!A35</f>
        <v>26</v>
      </c>
      <c r="B33" s="618" t="str">
        <f>'KV_1.1.sz.mell.'!B35</f>
        <v>Iparűzési adó</v>
      </c>
      <c r="C33" s="777">
        <v>278280285</v>
      </c>
      <c r="D33" s="777">
        <v>310616934</v>
      </c>
      <c r="E33" s="181">
        <v>335000000</v>
      </c>
    </row>
    <row r="34" spans="1:5" s="1" customFormat="1" ht="12" customHeight="1">
      <c r="A34" s="444" t="str">
        <f>'KV_1.1.sz.mell.'!A36</f>
        <v>27</v>
      </c>
      <c r="B34" s="618" t="str">
        <f>'KV_1.1.sz.mell.'!B36</f>
        <v>Talajterhelési díj </v>
      </c>
      <c r="C34" s="777">
        <v>656200</v>
      </c>
      <c r="D34" s="777">
        <v>638910</v>
      </c>
      <c r="E34" s="181">
        <v>500000</v>
      </c>
    </row>
    <row r="35" spans="1:5" s="1" customFormat="1" ht="12" customHeight="1">
      <c r="A35" s="444" t="str">
        <f>'KV_1.1.sz.mell.'!A37</f>
        <v>28</v>
      </c>
      <c r="B35" s="618" t="str">
        <f>'KV_1.1.sz.mell.'!B37</f>
        <v>Gépjárműadó</v>
      </c>
      <c r="C35" s="777"/>
      <c r="D35" s="777"/>
      <c r="E35" s="181"/>
    </row>
    <row r="36" spans="1:5" s="1" customFormat="1" ht="12" customHeight="1">
      <c r="A36" s="444" t="str">
        <f>'KV_1.1.sz.mell.'!A38</f>
        <v>29</v>
      </c>
      <c r="B36" s="618" t="str">
        <f>'KV_1.1.sz.mell.'!B38</f>
        <v>Telekadó</v>
      </c>
      <c r="C36" s="777"/>
      <c r="D36" s="777"/>
      <c r="E36" s="181"/>
    </row>
    <row r="37" spans="1:5" s="1" customFormat="1" ht="12" customHeight="1" thickBot="1">
      <c r="A37" s="444" t="str">
        <f>'KV_1.1.sz.mell.'!A39</f>
        <v>30</v>
      </c>
      <c r="B37" s="618" t="str">
        <f>'KV_1.1.sz.mell.'!B39</f>
        <v>Egyéb közhatalmi bevétel</v>
      </c>
      <c r="C37" s="778">
        <v>1346863</v>
      </c>
      <c r="D37" s="778">
        <v>1528820</v>
      </c>
      <c r="E37" s="183">
        <v>1500000</v>
      </c>
    </row>
    <row r="38" spans="1:5" s="1" customFormat="1" ht="12" customHeight="1" thickBot="1">
      <c r="A38" s="447">
        <f>'KV_1.1.sz.mell.'!A40</f>
        <v>31</v>
      </c>
      <c r="B38" s="617" t="str">
        <f>'KV_1.1.sz.mell.'!B40</f>
        <v>Működési bevételek (32+…+ 42)</v>
      </c>
      <c r="C38" s="772">
        <f>SUM(C39:C49)</f>
        <v>57895659</v>
      </c>
      <c r="D38" s="772">
        <f>SUM(D39:D49)</f>
        <v>45051404</v>
      </c>
      <c r="E38" s="180">
        <f>SUM(E39:E49)</f>
        <v>32254059</v>
      </c>
    </row>
    <row r="39" spans="1:5" s="1" customFormat="1" ht="12" customHeight="1">
      <c r="A39" s="444" t="str">
        <f>'KV_1.1.sz.mell.'!A41</f>
        <v>32</v>
      </c>
      <c r="B39" s="618" t="str">
        <f>'KV_1.1.sz.mell.'!B41</f>
        <v>Készletértékesítés ellenértéke</v>
      </c>
      <c r="C39" s="776">
        <v>1500</v>
      </c>
      <c r="D39" s="776"/>
      <c r="E39" s="182"/>
    </row>
    <row r="40" spans="1:5" s="1" customFormat="1" ht="12" customHeight="1">
      <c r="A40" s="444" t="str">
        <f>'KV_1.1.sz.mell.'!A42</f>
        <v>33</v>
      </c>
      <c r="B40" s="619" t="str">
        <f>'KV_1.1.sz.mell.'!B42</f>
        <v>Szolgáltatások ellenértéke</v>
      </c>
      <c r="C40" s="777">
        <v>5541370</v>
      </c>
      <c r="D40" s="777">
        <v>4450344</v>
      </c>
      <c r="E40" s="181">
        <v>610000</v>
      </c>
    </row>
    <row r="41" spans="1:5" s="1" customFormat="1" ht="12" customHeight="1">
      <c r="A41" s="444" t="str">
        <f>'KV_1.1.sz.mell.'!A43</f>
        <v>34</v>
      </c>
      <c r="B41" s="619" t="str">
        <f>'KV_1.1.sz.mell.'!B43</f>
        <v>Közvetített szolgáltatások értéke</v>
      </c>
      <c r="C41" s="777">
        <v>3920420</v>
      </c>
      <c r="D41" s="777">
        <v>4669179</v>
      </c>
      <c r="E41" s="181">
        <v>4871000</v>
      </c>
    </row>
    <row r="42" spans="1:5" s="1" customFormat="1" ht="12" customHeight="1">
      <c r="A42" s="444" t="str">
        <f>'KV_1.1.sz.mell.'!A44</f>
        <v>35</v>
      </c>
      <c r="B42" s="619" t="str">
        <f>'KV_1.1.sz.mell.'!B44</f>
        <v>Tulajdonosi bevételek</v>
      </c>
      <c r="C42" s="777">
        <v>30935879</v>
      </c>
      <c r="D42" s="777">
        <v>21528087</v>
      </c>
      <c r="E42" s="181">
        <v>20740000</v>
      </c>
    </row>
    <row r="43" spans="1:5" s="1" customFormat="1" ht="12" customHeight="1">
      <c r="A43" s="444" t="str">
        <f>'KV_1.1.sz.mell.'!A45</f>
        <v>36</v>
      </c>
      <c r="B43" s="619" t="str">
        <f>'KV_1.1.sz.mell.'!B45</f>
        <v>Ellátási díjak</v>
      </c>
      <c r="C43" s="777"/>
      <c r="D43" s="777"/>
      <c r="E43" s="181"/>
    </row>
    <row r="44" spans="1:5" s="1" customFormat="1" ht="12" customHeight="1">
      <c r="A44" s="444" t="str">
        <f>'KV_1.1.sz.mell.'!A46</f>
        <v>37</v>
      </c>
      <c r="B44" s="619" t="str">
        <f>'KV_1.1.sz.mell.'!B46</f>
        <v>Kiszámlázott általános forgalmi adó </v>
      </c>
      <c r="C44" s="777">
        <v>10059042</v>
      </c>
      <c r="D44" s="777">
        <v>5049801</v>
      </c>
      <c r="E44" s="181">
        <v>3421000</v>
      </c>
    </row>
    <row r="45" spans="1:5" s="1" customFormat="1" ht="12" customHeight="1">
      <c r="A45" s="444" t="str">
        <f>'KV_1.1.sz.mell.'!A47</f>
        <v>38</v>
      </c>
      <c r="B45" s="619" t="str">
        <f>'KV_1.1.sz.mell.'!B47</f>
        <v>Általános forgalmi adó visszatérítése</v>
      </c>
      <c r="C45" s="777">
        <v>6548435</v>
      </c>
      <c r="D45" s="777">
        <v>5414289</v>
      </c>
      <c r="E45" s="181">
        <v>2542059</v>
      </c>
    </row>
    <row r="46" spans="1:5" s="1" customFormat="1" ht="12" customHeight="1">
      <c r="A46" s="444" t="str">
        <f>'KV_1.1.sz.mell.'!A48</f>
        <v>39</v>
      </c>
      <c r="B46" s="619" t="str">
        <f>'KV_1.1.sz.mell.'!B48</f>
        <v>Kamatbevételek és más nyereségjellegű bevételek</v>
      </c>
      <c r="C46" s="777">
        <v>180</v>
      </c>
      <c r="D46" s="777">
        <v>266</v>
      </c>
      <c r="E46" s="181"/>
    </row>
    <row r="47" spans="1:5" s="1" customFormat="1" ht="12" customHeight="1">
      <c r="A47" s="444" t="str">
        <f>'KV_1.1.sz.mell.'!A49</f>
        <v>40</v>
      </c>
      <c r="B47" s="619" t="str">
        <f>'KV_1.1.sz.mell.'!B49</f>
        <v>Egyéb pénzügyi műveletek bevételei</v>
      </c>
      <c r="C47" s="708"/>
      <c r="D47" s="708"/>
      <c r="E47" s="184"/>
    </row>
    <row r="48" spans="1:5" s="1" customFormat="1" ht="12" customHeight="1">
      <c r="A48" s="444" t="str">
        <f>'KV_1.1.sz.mell.'!A50</f>
        <v>41</v>
      </c>
      <c r="B48" s="620" t="str">
        <f>'KV_1.1.sz.mell.'!B50</f>
        <v>Biztosító által fizetett kártérítés</v>
      </c>
      <c r="C48" s="774">
        <v>473505</v>
      </c>
      <c r="D48" s="774">
        <v>3834778</v>
      </c>
      <c r="E48" s="185"/>
    </row>
    <row r="49" spans="1:5" s="1" customFormat="1" ht="12" customHeight="1" thickBot="1">
      <c r="A49" s="444" t="str">
        <f>'KV_1.1.sz.mell.'!A51</f>
        <v>42</v>
      </c>
      <c r="B49" s="620" t="str">
        <f>'KV_1.1.sz.mell.'!B51</f>
        <v>Egyéb működési bevételek</v>
      </c>
      <c r="C49" s="774">
        <v>415328</v>
      </c>
      <c r="D49" s="774">
        <v>104660</v>
      </c>
      <c r="E49" s="185">
        <v>70000</v>
      </c>
    </row>
    <row r="50" spans="1:5" s="1" customFormat="1" ht="12" customHeight="1" thickBot="1">
      <c r="A50" s="447">
        <f>'KV_1.1.sz.mell.'!A52</f>
        <v>43</v>
      </c>
      <c r="B50" s="617" t="str">
        <f>'KV_1.1.sz.mell.'!B52</f>
        <v>Felhalmozási bevételek (44+…+48)</v>
      </c>
      <c r="C50" s="772">
        <f>SUM(C51:C55)</f>
        <v>15989800</v>
      </c>
      <c r="D50" s="772">
        <f>SUM(D51:D55)</f>
        <v>190000</v>
      </c>
      <c r="E50" s="180">
        <f>SUM(E51:E55)</f>
        <v>69000000</v>
      </c>
    </row>
    <row r="51" spans="1:5" s="1" customFormat="1" ht="12" customHeight="1">
      <c r="A51" s="444" t="str">
        <f>'KV_1.1.sz.mell.'!A53</f>
        <v>44</v>
      </c>
      <c r="B51" s="618" t="str">
        <f>'KV_1.1.sz.mell.'!B53</f>
        <v>Immateriális javak értékesítése</v>
      </c>
      <c r="C51" s="773"/>
      <c r="D51" s="773"/>
      <c r="E51" s="203"/>
    </row>
    <row r="52" spans="1:5" s="1" customFormat="1" ht="12" customHeight="1">
      <c r="A52" s="444" t="str">
        <f>'KV_1.1.sz.mell.'!A54</f>
        <v>45</v>
      </c>
      <c r="B52" s="619" t="str">
        <f>'KV_1.1.sz.mell.'!B54</f>
        <v>Ingatlanok értékesítése</v>
      </c>
      <c r="C52" s="708">
        <v>15989800</v>
      </c>
      <c r="D52" s="708">
        <v>190000</v>
      </c>
      <c r="E52" s="184">
        <v>69000000</v>
      </c>
    </row>
    <row r="53" spans="1:5" s="1" customFormat="1" ht="12" customHeight="1">
      <c r="A53" s="444" t="str">
        <f>'KV_1.1.sz.mell.'!A55</f>
        <v>46</v>
      </c>
      <c r="B53" s="619" t="str">
        <f>'KV_1.1.sz.mell.'!B55</f>
        <v>Egyéb tárgyi eszközök értékesítése</v>
      </c>
      <c r="C53" s="708"/>
      <c r="D53" s="708"/>
      <c r="E53" s="184"/>
    </row>
    <row r="54" spans="1:5" s="1" customFormat="1" ht="12" customHeight="1">
      <c r="A54" s="444" t="str">
        <f>'KV_1.1.sz.mell.'!A56</f>
        <v>47</v>
      </c>
      <c r="B54" s="619" t="str">
        <f>'KV_1.1.sz.mell.'!B56</f>
        <v>Részesedések értékesítése</v>
      </c>
      <c r="C54" s="708"/>
      <c r="D54" s="708"/>
      <c r="E54" s="184"/>
    </row>
    <row r="55" spans="1:5" s="1" customFormat="1" ht="12" customHeight="1" thickBot="1">
      <c r="A55" s="444" t="str">
        <f>'KV_1.1.sz.mell.'!A57</f>
        <v>48</v>
      </c>
      <c r="B55" s="620" t="str">
        <f>'KV_1.1.sz.mell.'!B57</f>
        <v>Részesedések megszűnéséhez kapcsolódó bevételek</v>
      </c>
      <c r="C55" s="774"/>
      <c r="D55" s="774"/>
      <c r="E55" s="185"/>
    </row>
    <row r="56" spans="1:5" s="1" customFormat="1" ht="12" customHeight="1" thickBot="1">
      <c r="A56" s="447">
        <f>'KV_1.1.sz.mell.'!A58</f>
        <v>49</v>
      </c>
      <c r="B56" s="617" t="str">
        <f>'KV_1.1.sz.mell.'!B58</f>
        <v>Működési célú átvett pénzeszközök (50+ … + 52)</v>
      </c>
      <c r="C56" s="772">
        <f>SUM(C57:C59)</f>
        <v>4393514</v>
      </c>
      <c r="D56" s="772">
        <f>SUM(D57:D59)</f>
        <v>6007456</v>
      </c>
      <c r="E56" s="180">
        <f>SUM(E57:E59)</f>
        <v>0</v>
      </c>
    </row>
    <row r="57" spans="1:5" s="1" customFormat="1" ht="12" customHeight="1">
      <c r="A57" s="444" t="str">
        <f>'KV_1.1.sz.mell.'!A59</f>
        <v>50</v>
      </c>
      <c r="B57" s="618" t="str">
        <f>'KV_1.1.sz.mell.'!B59</f>
        <v>Működési célú garancia- és kezességvállalásból megtérülések ÁH-n kívülről</v>
      </c>
      <c r="C57" s="776"/>
      <c r="D57" s="776"/>
      <c r="E57" s="182"/>
    </row>
    <row r="58" spans="1:5" s="1" customFormat="1" ht="12" customHeight="1">
      <c r="A58" s="444" t="str">
        <f>'KV_1.1.sz.mell.'!A60</f>
        <v>51</v>
      </c>
      <c r="B58" s="619" t="str">
        <f>'KV_1.1.sz.mell.'!B60</f>
        <v>Működési célú visszatérítendő támogatások, kölcsönök visszatér. ÁH-n kívülről</v>
      </c>
      <c r="C58" s="777"/>
      <c r="D58" s="777">
        <v>1323404</v>
      </c>
      <c r="E58" s="181"/>
    </row>
    <row r="59" spans="1:5" s="1" customFormat="1" ht="12" customHeight="1">
      <c r="A59" s="444" t="str">
        <f>'KV_1.1.sz.mell.'!A61</f>
        <v>52</v>
      </c>
      <c r="B59" s="619" t="str">
        <f>'KV_1.1.sz.mell.'!B61</f>
        <v>Egyéb működési célú átvett pénzeszköz</v>
      </c>
      <c r="C59" s="777">
        <v>4393514</v>
      </c>
      <c r="D59" s="777">
        <v>4684052</v>
      </c>
      <c r="E59" s="181"/>
    </row>
    <row r="60" spans="1:5" s="1" customFormat="1" ht="12" customHeight="1" thickBot="1">
      <c r="A60" s="444" t="str">
        <f>'KV_1.1.sz.mell.'!A62</f>
        <v>53</v>
      </c>
      <c r="B60" s="620" t="str">
        <f>'KV_1.1.sz.mell.'!B62</f>
        <v>  52-ből EU-s támogatás (közvetlen)</v>
      </c>
      <c r="C60" s="778"/>
      <c r="D60" s="778"/>
      <c r="E60" s="183"/>
    </row>
    <row r="61" spans="1:5" s="1" customFormat="1" ht="12" customHeight="1" thickBot="1">
      <c r="A61" s="447">
        <f>'KV_1.1.sz.mell.'!A63</f>
        <v>54</v>
      </c>
      <c r="B61" s="623" t="str">
        <f>'KV_1.1.sz.mell.'!B63</f>
        <v>Felhalmozási célú átvett pénzeszközök (55+…+57)</v>
      </c>
      <c r="C61" s="772">
        <f>SUM(C62:C64)</f>
        <v>13410400</v>
      </c>
      <c r="D61" s="772">
        <f>SUM(D62:D64)</f>
        <v>0</v>
      </c>
      <c r="E61" s="180">
        <f>SUM(E62:E64)</f>
        <v>0</v>
      </c>
    </row>
    <row r="62" spans="1:5" s="1" customFormat="1" ht="12" customHeight="1">
      <c r="A62" s="444" t="str">
        <f>'KV_1.1.sz.mell.'!A64</f>
        <v>55</v>
      </c>
      <c r="B62" s="618" t="str">
        <f>'KV_1.1.sz.mell.'!B64</f>
        <v>Felhalm. célú garancia- és kezességvállalásból megtérülések ÁH-n kívülről</v>
      </c>
      <c r="C62" s="708"/>
      <c r="D62" s="708"/>
      <c r="E62" s="184"/>
    </row>
    <row r="63" spans="1:5" s="1" customFormat="1" ht="12" customHeight="1">
      <c r="A63" s="444" t="str">
        <f>'KV_1.1.sz.mell.'!A65</f>
        <v>56</v>
      </c>
      <c r="B63" s="619" t="str">
        <f>'KV_1.1.sz.mell.'!B65</f>
        <v>Felhalm. célú visszatérítendő támogatások, kölcsönök visszatér. ÁH-n kívülről</v>
      </c>
      <c r="C63" s="708">
        <v>10000</v>
      </c>
      <c r="D63" s="708"/>
      <c r="E63" s="184"/>
    </row>
    <row r="64" spans="1:5" s="1" customFormat="1" ht="12" customHeight="1">
      <c r="A64" s="444" t="str">
        <f>'KV_1.1.sz.mell.'!A66</f>
        <v>57</v>
      </c>
      <c r="B64" s="619" t="str">
        <f>'KV_1.1.sz.mell.'!B66</f>
        <v>Egyéb felhalmozási célú átvett pénzeszköz</v>
      </c>
      <c r="C64" s="708">
        <v>13400400</v>
      </c>
      <c r="D64" s="708"/>
      <c r="E64" s="184"/>
    </row>
    <row r="65" spans="1:5" s="1" customFormat="1" ht="12" customHeight="1" thickBot="1">
      <c r="A65" s="444" t="str">
        <f>'KV_1.1.sz.mell.'!A67</f>
        <v>58</v>
      </c>
      <c r="B65" s="620" t="str">
        <f>'KV_1.1.sz.mell.'!B67</f>
        <v>  57-ből EU-s támogatás (közvetlen)</v>
      </c>
      <c r="C65" s="708"/>
      <c r="D65" s="708"/>
      <c r="E65" s="184"/>
    </row>
    <row r="66" spans="1:5" s="1" customFormat="1" ht="12" customHeight="1" thickBot="1">
      <c r="A66" s="447">
        <f>'KV_1.1.sz.mell.'!A68</f>
        <v>59</v>
      </c>
      <c r="B66" s="617" t="str">
        <f>'KV_1.1.sz.mell.'!B68</f>
        <v>KÖLTSÉGVETÉSI BEVÉTELEK ÖSSZESEN: (1+16+23+31+43+49+54)</v>
      </c>
      <c r="C66" s="779">
        <f>+C8+C23+C30+C38+C50+C56+C61</f>
        <v>1330381885</v>
      </c>
      <c r="D66" s="779">
        <f>+D8+D23+D30+D38+D50+D56+D61</f>
        <v>1330142553</v>
      </c>
      <c r="E66" s="274">
        <f>+E8+E23+E30+E38+E50+E56+E61</f>
        <v>1321706825</v>
      </c>
    </row>
    <row r="67" spans="1:5" s="1" customFormat="1" ht="12" customHeight="1" thickBot="1">
      <c r="A67" s="448">
        <f>'KV_1.1.sz.mell.'!A69</f>
        <v>60</v>
      </c>
      <c r="B67" s="623" t="str">
        <f>'KV_1.1.sz.mell.'!B69</f>
        <v>Hitel-, kölcsönfelvétel államháztartáson kívülről  (61+…+63)</v>
      </c>
      <c r="C67" s="772">
        <f>SUM(C68:C70)</f>
        <v>0</v>
      </c>
      <c r="D67" s="772">
        <f>SUM(D68:D70)</f>
        <v>0</v>
      </c>
      <c r="E67" s="180">
        <f>SUM(E68:E70)</f>
        <v>0</v>
      </c>
    </row>
    <row r="68" spans="1:5" s="1" customFormat="1" ht="12" customHeight="1">
      <c r="A68" s="444" t="str">
        <f>'KV_1.1.sz.mell.'!A70</f>
        <v>61</v>
      </c>
      <c r="B68" s="618" t="str">
        <f>'KV_1.1.sz.mell.'!B70</f>
        <v>Hosszú lejáratú  hitelek, kölcsönök felvétele</v>
      </c>
      <c r="C68" s="708"/>
      <c r="D68" s="708"/>
      <c r="E68" s="184"/>
    </row>
    <row r="69" spans="1:5" s="1" customFormat="1" ht="12" customHeight="1">
      <c r="A69" s="444" t="str">
        <f>'KV_1.1.sz.mell.'!A71</f>
        <v>62</v>
      </c>
      <c r="B69" s="619" t="str">
        <f>'KV_1.1.sz.mell.'!B71</f>
        <v>Likviditási célú  hitelek, kölcsönök felvétele pénzügyi vállalkozástól</v>
      </c>
      <c r="C69" s="708"/>
      <c r="D69" s="708"/>
      <c r="E69" s="184"/>
    </row>
    <row r="70" spans="1:5" s="1" customFormat="1" ht="12" customHeight="1" thickBot="1">
      <c r="A70" s="444" t="str">
        <f>'KV_1.1.sz.mell.'!A72</f>
        <v>63</v>
      </c>
      <c r="B70" s="624" t="str">
        <f>'KV_1.1.sz.mell.'!B72</f>
        <v>Rövid lejáratú  hitelek, kölcsönök felvétele pénzügyi vállalkozástól</v>
      </c>
      <c r="C70" s="708"/>
      <c r="D70" s="708"/>
      <c r="E70" s="184"/>
    </row>
    <row r="71" spans="1:5" s="1" customFormat="1" ht="12" customHeight="1" thickBot="1">
      <c r="A71" s="448">
        <f>'KV_1.1.sz.mell.'!A73</f>
        <v>64</v>
      </c>
      <c r="B71" s="623" t="str">
        <f>'KV_1.1.sz.mell.'!B73</f>
        <v>Belföldi értékpapírok bevételei (65 +…+ 68)</v>
      </c>
      <c r="C71" s="772">
        <f>SUM(C72:C75)</f>
        <v>0</v>
      </c>
      <c r="D71" s="772">
        <f>SUM(D72:D75)</f>
        <v>0</v>
      </c>
      <c r="E71" s="180">
        <f>SUM(E72:E75)</f>
        <v>0</v>
      </c>
    </row>
    <row r="72" spans="1:5" s="1" customFormat="1" ht="12" customHeight="1">
      <c r="A72" s="444" t="str">
        <f>'KV_1.1.sz.mell.'!A74</f>
        <v>65</v>
      </c>
      <c r="B72" s="618" t="str">
        <f>'KV_1.1.sz.mell.'!B74</f>
        <v>Forgatási célú belföldi értékpapírok beváltása,  értékesítése</v>
      </c>
      <c r="C72" s="708"/>
      <c r="D72" s="708"/>
      <c r="E72" s="184"/>
    </row>
    <row r="73" spans="1:7" s="1" customFormat="1" ht="13.5" customHeight="1">
      <c r="A73" s="444" t="str">
        <f>'KV_1.1.sz.mell.'!A75</f>
        <v>66</v>
      </c>
      <c r="B73" s="619" t="str">
        <f>'KV_1.1.sz.mell.'!B75</f>
        <v>Éven belüli lejáratú belföldi értékpapírok kibocsátása</v>
      </c>
      <c r="C73" s="708"/>
      <c r="D73" s="708"/>
      <c r="E73" s="184"/>
      <c r="G73" s="20"/>
    </row>
    <row r="74" spans="1:5" s="1" customFormat="1" ht="12" customHeight="1">
      <c r="A74" s="444" t="str">
        <f>'KV_1.1.sz.mell.'!A76</f>
        <v>67</v>
      </c>
      <c r="B74" s="620" t="str">
        <f>'KV_1.1.sz.mell.'!B76</f>
        <v>Befektetési célú belföldi értékpapírok beváltása,  értékesítése</v>
      </c>
      <c r="C74" s="708"/>
      <c r="D74" s="708"/>
      <c r="E74" s="185"/>
    </row>
    <row r="75" spans="1:5" s="1" customFormat="1" ht="12" customHeight="1" thickBot="1">
      <c r="A75" s="444" t="str">
        <f>'KV_1.1.sz.mell.'!A77</f>
        <v>68</v>
      </c>
      <c r="B75" s="625" t="str">
        <f>'KV_1.1.sz.mell.'!B77</f>
        <v>Éven túli lejáratú belföldi értékpapírok kibocsátása</v>
      </c>
      <c r="C75" s="708"/>
      <c r="D75" s="708"/>
      <c r="E75" s="394"/>
    </row>
    <row r="76" spans="1:5" s="1" customFormat="1" ht="12" customHeight="1" thickBot="1">
      <c r="A76" s="448">
        <f>'KV_1.1.sz.mell.'!A78</f>
        <v>69</v>
      </c>
      <c r="B76" s="623" t="str">
        <f>'KV_1.1.sz.mell.'!B78</f>
        <v>Maradvány igénybevétele (70 + 71)</v>
      </c>
      <c r="C76" s="772">
        <f>SUM(C77:C78)</f>
        <v>277348765</v>
      </c>
      <c r="D76" s="772">
        <f>SUM(D77:D78)</f>
        <v>340132962</v>
      </c>
      <c r="E76" s="180">
        <f>SUM(E77:E78)</f>
        <v>233226419</v>
      </c>
    </row>
    <row r="77" spans="1:5" s="1" customFormat="1" ht="12" customHeight="1">
      <c r="A77" s="444" t="str">
        <f>'KV_1.1.sz.mell.'!A79</f>
        <v>70</v>
      </c>
      <c r="B77" s="626" t="str">
        <f>'KV_1.1.sz.mell.'!B79</f>
        <v>Előző év költségvetési maradványának igénybevétele</v>
      </c>
      <c r="C77" s="708">
        <v>277348765</v>
      </c>
      <c r="D77" s="708">
        <v>340132962</v>
      </c>
      <c r="E77" s="614">
        <v>233226419</v>
      </c>
    </row>
    <row r="78" spans="1:5" s="1" customFormat="1" ht="12" customHeight="1" thickBot="1">
      <c r="A78" s="444" t="str">
        <f>'KV_1.1.sz.mell.'!A80</f>
        <v>71</v>
      </c>
      <c r="B78" s="625" t="str">
        <f>'KV_1.1.sz.mell.'!B80</f>
        <v>Előző év vállalkozási maradványának igénybevétele</v>
      </c>
      <c r="C78" s="708"/>
      <c r="D78" s="708"/>
      <c r="E78" s="394"/>
    </row>
    <row r="79" spans="1:5" s="1" customFormat="1" ht="12" customHeight="1" thickBot="1">
      <c r="A79" s="448">
        <f>'KV_1.1.sz.mell.'!A81</f>
        <v>72</v>
      </c>
      <c r="B79" s="623" t="str">
        <f>'KV_1.1.sz.mell.'!B81</f>
        <v>Belföldi finanszírozás bevételei (73 + … + 75)</v>
      </c>
      <c r="C79" s="772">
        <f>SUM(C80:C82)</f>
        <v>23144854</v>
      </c>
      <c r="D79" s="772">
        <f>SUM(D80:D82)</f>
        <v>26986044</v>
      </c>
      <c r="E79" s="180">
        <f>SUM(E80:E82)</f>
        <v>0</v>
      </c>
    </row>
    <row r="80" spans="1:5" s="1" customFormat="1" ht="12" customHeight="1">
      <c r="A80" s="444" t="str">
        <f>'KV_1.1.sz.mell.'!A82</f>
        <v>73</v>
      </c>
      <c r="B80" s="618" t="str">
        <f>'KV_1.1.sz.mell.'!B82</f>
        <v>Államháztartáson belüli megelőlegezések</v>
      </c>
      <c r="C80" s="708">
        <v>23144854</v>
      </c>
      <c r="D80" s="708">
        <v>26986044</v>
      </c>
      <c r="E80" s="184"/>
    </row>
    <row r="81" spans="1:5" s="1" customFormat="1" ht="12" customHeight="1">
      <c r="A81" s="444" t="str">
        <f>'KV_1.1.sz.mell.'!A83</f>
        <v>74</v>
      </c>
      <c r="B81" s="619" t="str">
        <f>'KV_1.1.sz.mell.'!B83</f>
        <v>Államháztartáson belüli megelőlegezések törlesztése</v>
      </c>
      <c r="C81" s="708"/>
      <c r="D81" s="708"/>
      <c r="E81" s="184"/>
    </row>
    <row r="82" spans="1:5" s="1" customFormat="1" ht="12" customHeight="1" thickBot="1">
      <c r="A82" s="445" t="str">
        <f>'KV_1.1.sz.mell.'!A84</f>
        <v>75</v>
      </c>
      <c r="B82" s="625" t="str">
        <f>'KV_1.1.sz.mell.'!B84</f>
        <v>Lekötött betétek megszüntetése</v>
      </c>
      <c r="C82" s="708"/>
      <c r="D82" s="708"/>
      <c r="E82" s="394"/>
    </row>
    <row r="83" spans="1:5" s="1" customFormat="1" ht="12" customHeight="1" thickBot="1">
      <c r="A83" s="449" t="str">
        <f>'KV_1.1.sz.mell.'!A85</f>
        <v>76</v>
      </c>
      <c r="B83" s="623" t="str">
        <f>'KV_1.1.sz.mell.'!B85</f>
        <v>Külföldi finanszírozás bevételei (77+…+80)</v>
      </c>
      <c r="C83" s="772">
        <f>SUM(C84:C87)</f>
        <v>0</v>
      </c>
      <c r="D83" s="772">
        <f>SUM(D84:D87)</f>
        <v>0</v>
      </c>
      <c r="E83" s="180">
        <f>SUM(E84:E87)</f>
        <v>0</v>
      </c>
    </row>
    <row r="84" spans="1:5" s="1" customFormat="1" ht="12" customHeight="1">
      <c r="A84" s="444" t="str">
        <f>'KV_1.1.sz.mell.'!A86</f>
        <v>77</v>
      </c>
      <c r="B84" s="618" t="str">
        <f>'KV_1.1.sz.mell.'!B86</f>
        <v>Forgatási célú külföldi értékpapírok beváltása,  értékesítése</v>
      </c>
      <c r="C84" s="708"/>
      <c r="D84" s="708"/>
      <c r="E84" s="184"/>
    </row>
    <row r="85" spans="1:5" s="1" customFormat="1" ht="12" customHeight="1">
      <c r="A85" s="444" t="str">
        <f>'KV_1.1.sz.mell.'!A87</f>
        <v>78</v>
      </c>
      <c r="B85" s="619" t="str">
        <f>'KV_1.1.sz.mell.'!B87</f>
        <v>Befektetési célú külföldi értékpapírok beváltása,  értékesítése</v>
      </c>
      <c r="C85" s="708"/>
      <c r="D85" s="708"/>
      <c r="E85" s="184"/>
    </row>
    <row r="86" spans="1:5" s="1" customFormat="1" ht="12" customHeight="1">
      <c r="A86" s="444" t="str">
        <f>'KV_1.1.sz.mell.'!A88</f>
        <v>79</v>
      </c>
      <c r="B86" s="619" t="str">
        <f>'KV_1.1.sz.mell.'!B88</f>
        <v>Külföldi értékpapírok kibocsátása</v>
      </c>
      <c r="C86" s="708"/>
      <c r="D86" s="708"/>
      <c r="E86" s="184"/>
    </row>
    <row r="87" spans="1:5" s="1" customFormat="1" ht="12" customHeight="1" thickBot="1">
      <c r="A87" s="445" t="str">
        <f>'KV_1.1.sz.mell.'!A89</f>
        <v>80</v>
      </c>
      <c r="B87" s="620" t="str">
        <f>'KV_1.1.sz.mell.'!B89</f>
        <v>Külföldi hitelek, kölcsönök felvétele</v>
      </c>
      <c r="C87" s="708"/>
      <c r="D87" s="708"/>
      <c r="E87" s="184"/>
    </row>
    <row r="88" spans="1:5" s="1" customFormat="1" ht="12" customHeight="1" thickBot="1">
      <c r="A88" s="449" t="str">
        <f>'KV_1.1.sz.mell.'!A90</f>
        <v>81</v>
      </c>
      <c r="B88" s="623" t="str">
        <f>'KV_1.1.sz.mell.'!B90</f>
        <v>Váltóbevételek</v>
      </c>
      <c r="C88" s="780"/>
      <c r="D88" s="780"/>
      <c r="E88" s="283"/>
    </row>
    <row r="89" spans="1:5" s="1" customFormat="1" ht="12" customHeight="1" thickBot="1">
      <c r="A89" s="450" t="str">
        <f>'KV_1.1.sz.mell.'!A91</f>
        <v>82</v>
      </c>
      <c r="B89" s="623" t="str">
        <f>'KV_1.1.sz.mell.'!B91</f>
        <v>Adóssághoz nem kapcsolódó származékos ügyletek bevételei</v>
      </c>
      <c r="C89" s="780"/>
      <c r="D89" s="780"/>
      <c r="E89" s="283"/>
    </row>
    <row r="90" spans="1:5" s="1" customFormat="1" ht="12" customHeight="1" thickBot="1">
      <c r="A90" s="449" t="str">
        <f>'KV_1.1.sz.mell.'!A92</f>
        <v>83</v>
      </c>
      <c r="B90" s="627" t="str">
        <f>'KV_1.1.sz.mell.'!B92</f>
        <v>FINANSZÍROZÁSI BEVÉTELEK ÖSSZESEN: (60 + 64+69+72+76+81+82)</v>
      </c>
      <c r="C90" s="779">
        <f>+C67+C71+C76+C79+C83+C89+C88</f>
        <v>300493619</v>
      </c>
      <c r="D90" s="779">
        <f>+D67+D71+D76+D79+D83+D89+D88</f>
        <v>367119006</v>
      </c>
      <c r="E90" s="274">
        <f>+E67+E71+E76+E79+E83+E88+E89</f>
        <v>233226419</v>
      </c>
    </row>
    <row r="91" spans="1:5" s="1" customFormat="1" ht="12" customHeight="1" thickBot="1">
      <c r="A91" s="460" t="str">
        <f>'KV_1.1.sz.mell.'!A93</f>
        <v>84</v>
      </c>
      <c r="B91" s="628" t="str">
        <f>'KV_1.1.sz.mell.'!B93</f>
        <v>KÖLTSÉGVETÉSI ÉS FINANSZÍROZÁSI BEVÉTELEK ÖSSZESEN: (59+83)</v>
      </c>
      <c r="C91" s="779">
        <f>+C66+C90</f>
        <v>1630875504</v>
      </c>
      <c r="D91" s="779">
        <f>+D66+D90</f>
        <v>1697261559</v>
      </c>
      <c r="E91" s="274">
        <f>+E66+E90</f>
        <v>1554933244</v>
      </c>
    </row>
    <row r="92" spans="1:5" s="1" customFormat="1" ht="12" customHeight="1">
      <c r="A92" s="511"/>
      <c r="B92" s="247"/>
      <c r="C92" s="501"/>
      <c r="D92" s="502"/>
      <c r="E92" s="503"/>
    </row>
    <row r="93" spans="1:5" s="1" customFormat="1" ht="12" customHeight="1">
      <c r="A93" s="829" t="s">
        <v>45</v>
      </c>
      <c r="B93" s="829"/>
      <c r="C93" s="829"/>
      <c r="D93" s="829"/>
      <c r="E93" s="829"/>
    </row>
    <row r="94" spans="1:5" s="1" customFormat="1" ht="12" customHeight="1" thickBot="1">
      <c r="A94" s="827"/>
      <c r="B94" s="827"/>
      <c r="C94" s="493"/>
      <c r="D94" s="98"/>
      <c r="E94" s="218" t="s">
        <v>319</v>
      </c>
    </row>
    <row r="95" spans="1:6" s="1" customFormat="1" ht="24" customHeight="1" thickBot="1">
      <c r="A95" s="510" t="s">
        <v>14</v>
      </c>
      <c r="B95" s="9" t="s">
        <v>46</v>
      </c>
      <c r="C95" s="9" t="str">
        <f>+C6</f>
        <v>2021. évi tény</v>
      </c>
      <c r="D95" s="9" t="str">
        <f>+D6</f>
        <v>2022. évi tény</v>
      </c>
      <c r="E95" s="112" t="str">
        <f>+E6</f>
        <v>2023. évi előirányzat</v>
      </c>
      <c r="F95" s="102"/>
    </row>
    <row r="96" spans="1:6" s="1" customFormat="1" ht="12" customHeight="1" thickBot="1">
      <c r="A96" s="447" t="s">
        <v>294</v>
      </c>
      <c r="B96" s="14" t="s">
        <v>295</v>
      </c>
      <c r="C96" s="14" t="s">
        <v>296</v>
      </c>
      <c r="D96" s="14" t="s">
        <v>298</v>
      </c>
      <c r="E96" s="275" t="s">
        <v>297</v>
      </c>
      <c r="F96" s="102"/>
    </row>
    <row r="97" spans="1:6" s="1" customFormat="1" ht="15" customHeight="1" thickBot="1">
      <c r="A97" s="449">
        <f>'KV_1.1.sz.mell.'!A99</f>
        <v>1</v>
      </c>
      <c r="B97" s="13" t="str">
        <f>'KV_1.1.sz.mell.'!B99</f>
        <v>   Működési költségvetés kiadásai (2+…+6)</v>
      </c>
      <c r="C97" s="781">
        <f>C98+C99+C100+C101+C102+C115</f>
        <v>1112621699</v>
      </c>
      <c r="D97" s="451">
        <f>D98+D99+D100+D101+D102+D115</f>
        <v>1187322571</v>
      </c>
      <c r="E97" s="207">
        <f>E98+E99+E100+E101+E102</f>
        <v>1359396301</v>
      </c>
      <c r="F97" s="102"/>
    </row>
    <row r="98" spans="1:5" s="1" customFormat="1" ht="12.75" customHeight="1">
      <c r="A98" s="446" t="str">
        <f>'KV_1.1.sz.mell.'!A100</f>
        <v>2</v>
      </c>
      <c r="B98" s="504" t="str">
        <f>'KV_1.1.sz.mell.'!B100</f>
        <v>Személyi  juttatások</v>
      </c>
      <c r="C98" s="782">
        <v>190942105</v>
      </c>
      <c r="D98" s="782">
        <v>208009603</v>
      </c>
      <c r="E98" s="209">
        <v>205810000</v>
      </c>
    </row>
    <row r="99" spans="1:5" ht="16.5" customHeight="1">
      <c r="A99" s="444" t="str">
        <f>'KV_1.1.sz.mell.'!A101</f>
        <v>3</v>
      </c>
      <c r="B99" s="403" t="str">
        <f>'KV_1.1.sz.mell.'!B101</f>
        <v>Munkaadókat terhelő járulékok és szociális hozzájárulási adó</v>
      </c>
      <c r="C99" s="777">
        <v>28690320</v>
      </c>
      <c r="D99" s="777">
        <v>28723043</v>
      </c>
      <c r="E99" s="210">
        <v>27295170</v>
      </c>
    </row>
    <row r="100" spans="1:5" ht="15.75">
      <c r="A100" s="444" t="str">
        <f>'KV_1.1.sz.mell.'!A102</f>
        <v>4</v>
      </c>
      <c r="B100" s="403" t="str">
        <f>'KV_1.1.sz.mell.'!B102</f>
        <v>Dologi  kiadások</v>
      </c>
      <c r="C100" s="778">
        <v>196334930</v>
      </c>
      <c r="D100" s="778">
        <v>165006023</v>
      </c>
      <c r="E100" s="212">
        <v>212486845</v>
      </c>
    </row>
    <row r="101" spans="1:5" s="19" customFormat="1" ht="12" customHeight="1">
      <c r="A101" s="444" t="str">
        <f>'KV_1.1.sz.mell.'!A103</f>
        <v>5</v>
      </c>
      <c r="B101" s="404" t="str">
        <f>'KV_1.1.sz.mell.'!B103</f>
        <v>Ellátottak pénzbeli juttatásai</v>
      </c>
      <c r="C101" s="778">
        <v>13848944</v>
      </c>
      <c r="D101" s="778">
        <v>12399243</v>
      </c>
      <c r="E101" s="212">
        <v>17960000</v>
      </c>
    </row>
    <row r="102" spans="1:5" ht="12" customHeight="1">
      <c r="A102" s="444" t="str">
        <f>'KV_1.1.sz.mell.'!A104</f>
        <v>6</v>
      </c>
      <c r="B102" s="404" t="str">
        <f>'KV_1.1.sz.mell.'!B104</f>
        <v>Egyéb működési célú kiadások</v>
      </c>
      <c r="C102" s="778">
        <v>682805400</v>
      </c>
      <c r="D102" s="212">
        <f>SUM(D103:D115)</f>
        <v>773184659</v>
      </c>
      <c r="E102" s="212">
        <f>SUM(E103:E115)</f>
        <v>895844286</v>
      </c>
    </row>
    <row r="103" spans="1:5" ht="12" customHeight="1">
      <c r="A103" s="444" t="str">
        <f>'KV_1.1.sz.mell.'!A105</f>
        <v>7</v>
      </c>
      <c r="B103" s="403" t="str">
        <f>'KV_1.1.sz.mell.'!B105</f>
        <v>   - a 6-ból:       - Előző évi elszámolásból származó befizetések</v>
      </c>
      <c r="C103" s="778">
        <v>120349</v>
      </c>
      <c r="D103" s="778">
        <v>16425</v>
      </c>
      <c r="E103" s="212"/>
    </row>
    <row r="104" spans="1:5" ht="12" customHeight="1">
      <c r="A104" s="444" t="str">
        <f>'KV_1.1.sz.mell.'!A106</f>
        <v>8</v>
      </c>
      <c r="B104" s="403" t="str">
        <f>'KV_1.1.sz.mell.'!B106</f>
        <v>   - Törvényi előíráson alapuló befizetések</v>
      </c>
      <c r="C104" s="778">
        <v>27168578</v>
      </c>
      <c r="D104" s="778">
        <v>46210600</v>
      </c>
      <c r="E104" s="212">
        <v>23951645</v>
      </c>
    </row>
    <row r="105" spans="1:5" ht="12" customHeight="1">
      <c r="A105" s="444" t="str">
        <f>'KV_1.1.sz.mell.'!A107</f>
        <v>9</v>
      </c>
      <c r="B105" s="403" t="str">
        <f>'KV_1.1.sz.mell.'!B107</f>
        <v>   - Egyéb elvonások, befizetések</v>
      </c>
      <c r="C105" s="778"/>
      <c r="D105" s="778"/>
      <c r="E105" s="212"/>
    </row>
    <row r="106" spans="1:5" ht="12" customHeight="1">
      <c r="A106" s="444" t="str">
        <f>'KV_1.1.sz.mell.'!A108</f>
        <v>10</v>
      </c>
      <c r="B106" s="455" t="str">
        <f>'KV_1.1.sz.mell.'!B108</f>
        <v>   - Garancia- és kezességvállalásból kifizetés ÁH-n belülre</v>
      </c>
      <c r="C106" s="778"/>
      <c r="D106" s="778"/>
      <c r="E106" s="212"/>
    </row>
    <row r="107" spans="1:5" ht="12" customHeight="1">
      <c r="A107" s="444" t="str">
        <f>'KV_1.1.sz.mell.'!A109</f>
        <v>11</v>
      </c>
      <c r="B107" s="403" t="str">
        <f>'KV_1.1.sz.mell.'!B109</f>
        <v>   -Visszatérítendő támogatások, kölcsönök nyújtása ÁH-n belülre</v>
      </c>
      <c r="C107" s="778"/>
      <c r="D107" s="778"/>
      <c r="E107" s="212"/>
    </row>
    <row r="108" spans="1:5" ht="12" customHeight="1">
      <c r="A108" s="444" t="str">
        <f>'KV_1.1.sz.mell.'!A110</f>
        <v>12</v>
      </c>
      <c r="B108" s="403" t="str">
        <f>'KV_1.1.sz.mell.'!B110</f>
        <v>   - Visszatérítendő támogatások, kölcsönök törlesztése ÁH-n belülre</v>
      </c>
      <c r="C108" s="778"/>
      <c r="D108" s="778"/>
      <c r="E108" s="212"/>
    </row>
    <row r="109" spans="1:5" ht="12" customHeight="1">
      <c r="A109" s="444" t="str">
        <f>'KV_1.1.sz.mell.'!A111</f>
        <v>13</v>
      </c>
      <c r="B109" s="455" t="str">
        <f>'KV_1.1.sz.mell.'!B111</f>
        <v>   - Egyéb működési célú támogatások ÁH-n belülre</v>
      </c>
      <c r="C109" s="778">
        <v>467616305</v>
      </c>
      <c r="D109" s="778">
        <v>504192304</v>
      </c>
      <c r="E109" s="212">
        <v>597023168</v>
      </c>
    </row>
    <row r="110" spans="1:5" ht="12" customHeight="1">
      <c r="A110" s="444" t="str">
        <f>'KV_1.1.sz.mell.'!A112</f>
        <v>14</v>
      </c>
      <c r="B110" s="455" t="str">
        <f>'KV_1.1.sz.mell.'!B112</f>
        <v>   - Garancia és kezességvállalásból kifizetés ÁH-n kívülre</v>
      </c>
      <c r="C110" s="778"/>
      <c r="D110" s="496"/>
      <c r="E110" s="212"/>
    </row>
    <row r="111" spans="1:5" ht="12" customHeight="1">
      <c r="A111" s="444" t="str">
        <f>'KV_1.1.sz.mell.'!A113</f>
        <v>15</v>
      </c>
      <c r="B111" s="403" t="str">
        <f>'KV_1.1.sz.mell.'!B113</f>
        <v>   - Visszatérítendő támogatások, kölcsönök nyújtása ÁH-n kívülre</v>
      </c>
      <c r="C111" s="778">
        <v>1323404</v>
      </c>
      <c r="D111" s="496"/>
      <c r="E111" s="212"/>
    </row>
    <row r="112" spans="1:5" ht="12" customHeight="1">
      <c r="A112" s="444" t="str">
        <f>'KV_1.1.sz.mell.'!A114</f>
        <v>16</v>
      </c>
      <c r="B112" s="403" t="str">
        <f>'KV_1.1.sz.mell.'!B114</f>
        <v>   - Árkiegészítések, ártámogatások</v>
      </c>
      <c r="C112" s="778"/>
      <c r="D112" s="496"/>
      <c r="E112" s="212"/>
    </row>
    <row r="113" spans="1:5" ht="12" customHeight="1">
      <c r="A113" s="444" t="str">
        <f>'KV_1.1.sz.mell.'!A115</f>
        <v>17</v>
      </c>
      <c r="B113" s="403" t="str">
        <f>'KV_1.1.sz.mell.'!B115</f>
        <v>   - Kamattámogatások</v>
      </c>
      <c r="C113" s="778"/>
      <c r="D113" s="496"/>
      <c r="E113" s="212"/>
    </row>
    <row r="114" spans="1:5" ht="12" customHeight="1">
      <c r="A114" s="444" t="str">
        <f>'KV_1.1.sz.mell.'!A116</f>
        <v>18</v>
      </c>
      <c r="B114" s="403" t="str">
        <f>'KV_1.1.sz.mell.'!B116</f>
        <v>   - Egyéb működési célú támogatások államháztartáson kívülre</v>
      </c>
      <c r="C114" s="778">
        <v>186576764</v>
      </c>
      <c r="D114" s="496">
        <v>222765330</v>
      </c>
      <c r="E114" s="212">
        <v>237644000</v>
      </c>
    </row>
    <row r="115" spans="1:5" ht="12" customHeight="1">
      <c r="A115" s="444" t="str">
        <f>'KV_1.1.sz.mell.'!A117</f>
        <v>19</v>
      </c>
      <c r="B115" s="403" t="str">
        <f>'KV_1.1.sz.mell.'!B117</f>
        <v>   - Tartalékok</v>
      </c>
      <c r="C115" s="777"/>
      <c r="D115" s="495"/>
      <c r="E115" s="210">
        <f>SUM(E116:E117)</f>
        <v>37225473</v>
      </c>
    </row>
    <row r="116" spans="1:5" ht="12" customHeight="1">
      <c r="A116" s="444" t="str">
        <f>'KV_1.1.sz.mell.'!A118</f>
        <v>20</v>
      </c>
      <c r="B116" s="406" t="str">
        <f>'KV_1.1.sz.mell.'!B118</f>
        <v>         - a 19-ből:             - Általános tartalék</v>
      </c>
      <c r="C116" s="777"/>
      <c r="D116" s="495"/>
      <c r="E116" s="210">
        <v>10000000</v>
      </c>
    </row>
    <row r="117" spans="1:5" ht="12" customHeight="1" thickBot="1">
      <c r="A117" s="445" t="str">
        <f>'KV_1.1.sz.mell.'!A119</f>
        <v>21</v>
      </c>
      <c r="B117" s="456" t="str">
        <f>'KV_1.1.sz.mell.'!B119</f>
        <v>                                       - Céltartalék</v>
      </c>
      <c r="C117" s="783"/>
      <c r="D117" s="505"/>
      <c r="E117" s="216">
        <v>27225473</v>
      </c>
    </row>
    <row r="118" spans="1:5" ht="12" customHeight="1" thickBot="1">
      <c r="A118" s="449" t="str">
        <f>'KV_1.1.sz.mell.'!A120</f>
        <v>22</v>
      </c>
      <c r="B118" s="297" t="str">
        <f>'KV_1.1.sz.mell.'!B120</f>
        <v>   Felhalmozási költségvetés kiadásai (23+25+27)</v>
      </c>
      <c r="C118" s="784">
        <f>+C119+C121+C123</f>
        <v>154223096</v>
      </c>
      <c r="D118" s="457">
        <f>+D119+D121+D123</f>
        <v>252406841</v>
      </c>
      <c r="E118" s="298">
        <f>+E119+E121+E123</f>
        <v>167479879</v>
      </c>
    </row>
    <row r="119" spans="1:5" ht="12" customHeight="1">
      <c r="A119" s="444">
        <f>'KV_1.1.sz.mell.'!A121</f>
        <v>23</v>
      </c>
      <c r="B119" s="403" t="str">
        <f>'KV_1.1.sz.mell.'!B121</f>
        <v>Beruházások</v>
      </c>
      <c r="C119" s="776">
        <v>73815476</v>
      </c>
      <c r="D119" s="494">
        <v>165150588</v>
      </c>
      <c r="E119" s="211">
        <v>157563979</v>
      </c>
    </row>
    <row r="120" spans="1:5" ht="15.75">
      <c r="A120" s="444" t="str">
        <f>'KV_1.1.sz.mell.'!A122</f>
        <v>24</v>
      </c>
      <c r="B120" s="405" t="str">
        <f>'KV_1.1.sz.mell.'!B122</f>
        <v>23-ból EU-s forrásból megvalósuló beruházás</v>
      </c>
      <c r="C120" s="776"/>
      <c r="D120" s="494"/>
      <c r="E120" s="211">
        <v>93201481</v>
      </c>
    </row>
    <row r="121" spans="1:5" ht="12" customHeight="1">
      <c r="A121" s="444" t="str">
        <f>'KV_1.1.sz.mell.'!A123</f>
        <v>25</v>
      </c>
      <c r="B121" s="405" t="str">
        <f>'KV_1.1.sz.mell.'!B123</f>
        <v>Felújítások</v>
      </c>
      <c r="C121" s="777">
        <v>71572702</v>
      </c>
      <c r="D121" s="495">
        <v>85622053</v>
      </c>
      <c r="E121" s="210">
        <v>9700000</v>
      </c>
    </row>
    <row r="122" spans="1:5" ht="12" customHeight="1">
      <c r="A122" s="444" t="str">
        <f>'KV_1.1.sz.mell.'!A124</f>
        <v>26</v>
      </c>
      <c r="B122" s="405" t="str">
        <f>'KV_1.1.sz.mell.'!B124</f>
        <v>25-ből EU-s forrásból megvalósuló felújítás</v>
      </c>
      <c r="C122" s="777"/>
      <c r="D122" s="495"/>
      <c r="E122" s="181"/>
    </row>
    <row r="123" spans="1:5" ht="12" customHeight="1">
      <c r="A123" s="444" t="str">
        <f>'KV_1.1.sz.mell.'!A125</f>
        <v>27</v>
      </c>
      <c r="B123" s="333" t="str">
        <f>'KV_1.1.sz.mell.'!B125</f>
        <v>Egyéb felhalmozási célú kiadások</v>
      </c>
      <c r="C123" s="777">
        <v>8834918</v>
      </c>
      <c r="D123" s="495">
        <v>1634200</v>
      </c>
      <c r="E123" s="181">
        <f>SUM(E124:E131)</f>
        <v>215900</v>
      </c>
    </row>
    <row r="124" spans="1:5" ht="12" customHeight="1">
      <c r="A124" s="444" t="str">
        <f>'KV_1.1.sz.mell.'!A126</f>
        <v>28</v>
      </c>
      <c r="B124" s="398" t="str">
        <f>'KV_1.1.sz.mell.'!B126</f>
        <v>27-ből           - Garancia- és kezességvállalásból kifizetés ÁH-n belülre</v>
      </c>
      <c r="C124" s="777"/>
      <c r="D124" s="495"/>
      <c r="E124" s="181"/>
    </row>
    <row r="125" spans="1:5" ht="12" customHeight="1">
      <c r="A125" s="444" t="str">
        <f>'KV_1.1.sz.mell.'!A127</f>
        <v>29</v>
      </c>
      <c r="B125" s="406" t="str">
        <f>'KV_1.1.sz.mell.'!B127</f>
        <v>   - Visszatérítendő támogatások, kölcsönök nyújtása ÁH-n belülre</v>
      </c>
      <c r="C125" s="777"/>
      <c r="D125" s="495"/>
      <c r="E125" s="181"/>
    </row>
    <row r="126" spans="1:5" ht="12" customHeight="1">
      <c r="A126" s="444" t="str">
        <f>'KV_1.1.sz.mell.'!A128</f>
        <v>30</v>
      </c>
      <c r="B126" s="403" t="str">
        <f>'KV_1.1.sz.mell.'!B128</f>
        <v>   - Visszatérítendő támogatások, kölcsönök törlesztése ÁH-n belülre</v>
      </c>
      <c r="C126" s="777"/>
      <c r="D126" s="495"/>
      <c r="E126" s="181"/>
    </row>
    <row r="127" spans="1:5" ht="12" customHeight="1">
      <c r="A127" s="444" t="str">
        <f>'KV_1.1.sz.mell.'!A129</f>
        <v>31</v>
      </c>
      <c r="B127" s="403" t="str">
        <f>'KV_1.1.sz.mell.'!B129</f>
        <v>   - Egyéb felhalmozási célú támogatások ÁH-n belülre</v>
      </c>
      <c r="C127" s="777">
        <v>8334918</v>
      </c>
      <c r="D127" s="495">
        <v>1634200</v>
      </c>
      <c r="E127" s="181"/>
    </row>
    <row r="128" spans="1:5" ht="12" customHeight="1">
      <c r="A128" s="444" t="str">
        <f>'KV_1.1.sz.mell.'!A130</f>
        <v>32</v>
      </c>
      <c r="B128" s="403" t="str">
        <f>'KV_1.1.sz.mell.'!B130</f>
        <v>   - Garancia- és kezességvállalásból kifizetés ÁH-n kívülre</v>
      </c>
      <c r="C128" s="777"/>
      <c r="D128" s="495"/>
      <c r="E128" s="181"/>
    </row>
    <row r="129" spans="1:5" ht="12" customHeight="1">
      <c r="A129" s="444" t="str">
        <f>'KV_1.1.sz.mell.'!A131</f>
        <v>33</v>
      </c>
      <c r="B129" s="403" t="str">
        <f>'KV_1.1.sz.mell.'!B131</f>
        <v>   - Visszatérítendő támogatások, kölcsönök nyújtása ÁH-n kívülre</v>
      </c>
      <c r="C129" s="777"/>
      <c r="D129" s="495"/>
      <c r="E129" s="181"/>
    </row>
    <row r="130" spans="1:5" ht="12" customHeight="1">
      <c r="A130" s="444" t="str">
        <f>'KV_1.1.sz.mell.'!A132</f>
        <v>34</v>
      </c>
      <c r="B130" s="403" t="str">
        <f>'KV_1.1.sz.mell.'!B132</f>
        <v>   - Lakástámogatás</v>
      </c>
      <c r="C130" s="777"/>
      <c r="D130" s="495"/>
      <c r="E130" s="181"/>
    </row>
    <row r="131" spans="1:5" ht="12" customHeight="1" thickBot="1">
      <c r="A131" s="444">
        <f>'KV_1.1.sz.mell.'!A133</f>
        <v>35</v>
      </c>
      <c r="B131" s="403" t="str">
        <f>'KV_1.1.sz.mell.'!B133</f>
        <v>   - Egyéb felhalmozási célú támogatások államháztartáson kívülre</v>
      </c>
      <c r="C131" s="778">
        <v>500000</v>
      </c>
      <c r="D131" s="496"/>
      <c r="E131" s="183">
        <v>215900</v>
      </c>
    </row>
    <row r="132" spans="1:5" ht="12" customHeight="1" thickBot="1">
      <c r="A132" s="449">
        <f>'KV_1.1.sz.mell.'!A134</f>
        <v>36</v>
      </c>
      <c r="B132" s="90" t="str">
        <f>'KV_1.1.sz.mell.'!B134</f>
        <v>KÖLTSÉGVETÉSI KIADÁSOK ÖSSZESEN (1+22)</v>
      </c>
      <c r="C132" s="772">
        <f>+C97+C118</f>
        <v>1266844795</v>
      </c>
      <c r="D132" s="452">
        <f>+D97+D118</f>
        <v>1439729412</v>
      </c>
      <c r="E132" s="208">
        <f>+E97+E118</f>
        <v>1526876180</v>
      </c>
    </row>
    <row r="133" spans="1:5" ht="12" customHeight="1" thickBot="1">
      <c r="A133" s="449">
        <f>'KV_1.1.sz.mell.'!A135</f>
        <v>37</v>
      </c>
      <c r="B133" s="90" t="str">
        <f>'KV_1.1.sz.mell.'!B135</f>
        <v>Hitel-, kölcsöntörlesztés államháztartáson kívülre (38+ … + 40)</v>
      </c>
      <c r="C133" s="772">
        <f>+C134+C135+C136</f>
        <v>0</v>
      </c>
      <c r="D133" s="452">
        <f>+D134+D135+D136</f>
        <v>0</v>
      </c>
      <c r="E133" s="208">
        <f>+E134+E135+E136</f>
        <v>0</v>
      </c>
    </row>
    <row r="134" spans="1:5" ht="12" customHeight="1">
      <c r="A134" s="444">
        <f>'KV_1.1.sz.mell.'!A136</f>
        <v>38</v>
      </c>
      <c r="B134" s="405" t="str">
        <f>'KV_1.1.sz.mell.'!B136</f>
        <v>Hosszú lejáratú hitelek, kölcsönök törlesztése pénzügyi vállalkozásnak</v>
      </c>
      <c r="C134" s="777"/>
      <c r="D134" s="495"/>
      <c r="E134" s="181"/>
    </row>
    <row r="135" spans="1:5" ht="12" customHeight="1">
      <c r="A135" s="444" t="str">
        <f>'KV_1.1.sz.mell.'!A137</f>
        <v>39</v>
      </c>
      <c r="B135" s="405" t="str">
        <f>'KV_1.1.sz.mell.'!B137</f>
        <v>Likviditási célú hitelek, kölcsönök törlesztése pénzügyi vállalkozásnak</v>
      </c>
      <c r="C135" s="777"/>
      <c r="D135" s="495"/>
      <c r="E135" s="181"/>
    </row>
    <row r="136" spans="1:5" ht="12" customHeight="1" thickBot="1">
      <c r="A136" s="444" t="str">
        <f>'KV_1.1.sz.mell.'!A138</f>
        <v>40</v>
      </c>
      <c r="B136" s="405" t="str">
        <f>'KV_1.1.sz.mell.'!B138</f>
        <v>Rövid lejáratú hitelek, kölcsönök törlesztése pénzügyi vállalkozásnak</v>
      </c>
      <c r="C136" s="777"/>
      <c r="D136" s="495"/>
      <c r="E136" s="181"/>
    </row>
    <row r="137" spans="1:5" ht="12" customHeight="1" thickBot="1">
      <c r="A137" s="449">
        <f>'KV_1.1.sz.mell.'!A139</f>
        <v>41</v>
      </c>
      <c r="B137" s="90" t="str">
        <f>'KV_1.1.sz.mell.'!B139</f>
        <v>Belföldi értékpapírok kiadásai (42+ … + 47)</v>
      </c>
      <c r="C137" s="772">
        <f>SUM(C138:C143)</f>
        <v>0</v>
      </c>
      <c r="D137" s="452">
        <f>SUM(D138:D143)</f>
        <v>0</v>
      </c>
      <c r="E137" s="208">
        <f>SUM(E138:E143)</f>
        <v>0</v>
      </c>
    </row>
    <row r="138" spans="1:5" ht="12" customHeight="1">
      <c r="A138" s="444">
        <f>'KV_1.1.sz.mell.'!A140</f>
        <v>42</v>
      </c>
      <c r="B138" s="406" t="str">
        <f>'KV_1.1.sz.mell.'!B140</f>
        <v>Forgatási célú belföldi értékpapírok vásárlása</v>
      </c>
      <c r="C138" s="777"/>
      <c r="D138" s="495"/>
      <c r="E138" s="181"/>
    </row>
    <row r="139" spans="1:5" ht="12" customHeight="1">
      <c r="A139" s="444">
        <f>'KV_1.1.sz.mell.'!A141</f>
        <v>43</v>
      </c>
      <c r="B139" s="406" t="str">
        <f>'KV_1.1.sz.mell.'!B141</f>
        <v>Befektetési célú belföldi értékpapírok vásárlása</v>
      </c>
      <c r="C139" s="777"/>
      <c r="D139" s="495"/>
      <c r="E139" s="181"/>
    </row>
    <row r="140" spans="1:5" ht="12" customHeight="1">
      <c r="A140" s="444" t="str">
        <f>'KV_1.1.sz.mell.'!A142</f>
        <v>44</v>
      </c>
      <c r="B140" s="406" t="str">
        <f>'KV_1.1.sz.mell.'!B142</f>
        <v>Kincstárjegyek beváltása</v>
      </c>
      <c r="C140" s="777"/>
      <c r="D140" s="495"/>
      <c r="E140" s="181"/>
    </row>
    <row r="141" spans="1:5" ht="12" customHeight="1">
      <c r="A141" s="444" t="str">
        <f>'KV_1.1.sz.mell.'!A143</f>
        <v>45</v>
      </c>
      <c r="B141" s="406" t="str">
        <f>'KV_1.1.sz.mell.'!B143</f>
        <v>Éven belüli lejáratú belföldi értékpapírok beváltása</v>
      </c>
      <c r="C141" s="777"/>
      <c r="D141" s="495"/>
      <c r="E141" s="181"/>
    </row>
    <row r="142" spans="1:5" ht="12" customHeight="1">
      <c r="A142" s="444" t="str">
        <f>'KV_1.1.sz.mell.'!A144</f>
        <v>46</v>
      </c>
      <c r="B142" s="407" t="str">
        <f>'KV_1.1.sz.mell.'!B144</f>
        <v>Belföldi kötvények beváltása</v>
      </c>
      <c r="C142" s="777"/>
      <c r="D142" s="495"/>
      <c r="E142" s="183"/>
    </row>
    <row r="143" spans="1:5" ht="12" customHeight="1" thickBot="1">
      <c r="A143" s="444">
        <f>'KV_1.1.sz.mell.'!A145</f>
        <v>47</v>
      </c>
      <c r="B143" s="456" t="str">
        <f>'KV_1.1.sz.mell.'!B145</f>
        <v>Éven túli lejáratú belföldi értékpapírok beváltása</v>
      </c>
      <c r="C143" s="777"/>
      <c r="D143" s="495"/>
      <c r="E143" s="300"/>
    </row>
    <row r="144" spans="1:5" ht="12" customHeight="1" thickBot="1">
      <c r="A144" s="449">
        <f>'KV_1.1.sz.mell.'!A146</f>
        <v>48</v>
      </c>
      <c r="B144" s="90" t="str">
        <f>'KV_1.1.sz.mell.'!B146</f>
        <v>Belföldi finanszírozás kiadásai (49+ … + 52)</v>
      </c>
      <c r="C144" s="779">
        <f>+C145+C146+C147+C148</f>
        <v>23897747</v>
      </c>
      <c r="D144" s="453">
        <f>+D145+D146+D147+D148</f>
        <v>24305728</v>
      </c>
      <c r="E144" s="214">
        <f>+E145+E146+E147+E148</f>
        <v>28057064</v>
      </c>
    </row>
    <row r="145" spans="1:5" ht="12" customHeight="1">
      <c r="A145" s="444">
        <f>'KV_1.1.sz.mell.'!A147</f>
        <v>49</v>
      </c>
      <c r="B145" s="406" t="str">
        <f>'KV_1.1.sz.mell.'!B147</f>
        <v>Államháztartáson belüli megelőlegezések folyósítása</v>
      </c>
      <c r="C145" s="777"/>
      <c r="D145" s="495"/>
      <c r="E145" s="181"/>
    </row>
    <row r="146" spans="1:5" ht="12" customHeight="1">
      <c r="A146" s="444" t="str">
        <f>'KV_1.1.sz.mell.'!A148</f>
        <v>50</v>
      </c>
      <c r="B146" s="406" t="str">
        <f>'KV_1.1.sz.mell.'!B148</f>
        <v>Államháztartáson belüli megelőlegezések visszafizetése</v>
      </c>
      <c r="C146" s="777">
        <v>22826384</v>
      </c>
      <c r="D146" s="495">
        <v>23158286</v>
      </c>
      <c r="E146" s="181">
        <v>26821095</v>
      </c>
    </row>
    <row r="147" spans="1:5" ht="12" customHeight="1">
      <c r="A147" s="444" t="str">
        <f>'KV_1.1.sz.mell.'!A149</f>
        <v>51</v>
      </c>
      <c r="B147" s="407" t="str">
        <f>'KV_1.1.sz.mell.'!B149</f>
        <v>Pénzeszközök lekötött betétként elhelyezése</v>
      </c>
      <c r="C147" s="777"/>
      <c r="D147" s="495"/>
      <c r="E147" s="183"/>
    </row>
    <row r="148" spans="1:5" ht="12" customHeight="1" thickBot="1">
      <c r="A148" s="445">
        <f>'KV_1.1.sz.mell.'!A150</f>
        <v>52</v>
      </c>
      <c r="B148" s="456" t="str">
        <f>'KV_1.1.sz.mell.'!B150</f>
        <v>Pénzügyi lízing kiadásai</v>
      </c>
      <c r="C148" s="777">
        <v>1071363</v>
      </c>
      <c r="D148" s="495">
        <v>1147442</v>
      </c>
      <c r="E148" s="300">
        <v>1235969</v>
      </c>
    </row>
    <row r="149" spans="1:5" ht="12" customHeight="1" thickBot="1">
      <c r="A149" s="449">
        <f>'KV_1.1.sz.mell.'!A151</f>
        <v>53</v>
      </c>
      <c r="B149" s="90" t="str">
        <f>'KV_1.1.sz.mell.'!B151</f>
        <v>Külföldi finanszírozás kiadásai (54+ … + 58)</v>
      </c>
      <c r="C149" s="785">
        <f>SUM(C150:C154)</f>
        <v>0</v>
      </c>
      <c r="D149" s="458">
        <f>SUM(D150:D154)</f>
        <v>0</v>
      </c>
      <c r="E149" s="217">
        <f>SUM(E150:E154)</f>
        <v>0</v>
      </c>
    </row>
    <row r="150" spans="1:5" ht="12" customHeight="1">
      <c r="A150" s="444">
        <f>'KV_1.1.sz.mell.'!A152</f>
        <v>54</v>
      </c>
      <c r="B150" s="406" t="str">
        <f>'KV_1.1.sz.mell.'!B152</f>
        <v>Forgatási célú külföldi értékpapírok vásárlása</v>
      </c>
      <c r="C150" s="777"/>
      <c r="D150" s="495"/>
      <c r="E150" s="181"/>
    </row>
    <row r="151" spans="1:5" ht="12" customHeight="1">
      <c r="A151" s="444">
        <f>'KV_1.1.sz.mell.'!A153</f>
        <v>55</v>
      </c>
      <c r="B151" s="406" t="str">
        <f>'KV_1.1.sz.mell.'!B153</f>
        <v>Befektetési célú külföldi értékpapírok vásárlása</v>
      </c>
      <c r="C151" s="777"/>
      <c r="D151" s="495"/>
      <c r="E151" s="181"/>
    </row>
    <row r="152" spans="1:5" ht="12" customHeight="1">
      <c r="A152" s="444" t="str">
        <f>'KV_1.1.sz.mell.'!A154</f>
        <v>56</v>
      </c>
      <c r="B152" s="406" t="str">
        <f>'KV_1.1.sz.mell.'!B154</f>
        <v>Külföldi értékpapírok beváltása</v>
      </c>
      <c r="C152" s="777"/>
      <c r="D152" s="495"/>
      <c r="E152" s="181"/>
    </row>
    <row r="153" spans="1:5" ht="12" customHeight="1">
      <c r="A153" s="444" t="str">
        <f>'KV_1.1.sz.mell.'!A155</f>
        <v>57</v>
      </c>
      <c r="B153" s="406" t="str">
        <f>'KV_1.1.sz.mell.'!B155</f>
        <v>Hitelek, kölcsönök törlesztése külföldi kormányoknak nemz. szervezeteknek</v>
      </c>
      <c r="C153" s="777"/>
      <c r="D153" s="495"/>
      <c r="E153" s="181"/>
    </row>
    <row r="154" spans="1:5" ht="12" customHeight="1" thickBot="1">
      <c r="A154" s="444" t="str">
        <f>'KV_1.1.sz.mell.'!A156</f>
        <v>58</v>
      </c>
      <c r="B154" s="406" t="str">
        <f>'KV_1.1.sz.mell.'!B156</f>
        <v>Hitelek, kölcsönök törlesztése külföldi pénzintézeteknek</v>
      </c>
      <c r="C154" s="777"/>
      <c r="D154" s="495"/>
      <c r="E154" s="181"/>
    </row>
    <row r="155" spans="1:5" ht="12" customHeight="1" thickBot="1">
      <c r="A155" s="449">
        <f>'KV_1.1.sz.mell.'!A157</f>
        <v>59</v>
      </c>
      <c r="B155" s="90" t="str">
        <f>'KV_1.1.sz.mell.'!B157</f>
        <v>Adóssághoz nem kapcsolódó származékos ügyletek</v>
      </c>
      <c r="C155" s="786"/>
      <c r="D155" s="506"/>
      <c r="E155" s="299"/>
    </row>
    <row r="156" spans="1:5" ht="12" customHeight="1" thickBot="1">
      <c r="A156" s="449">
        <f>'KV_1.1.sz.mell.'!A158</f>
        <v>60</v>
      </c>
      <c r="B156" s="90" t="str">
        <f>'KV_1.1.sz.mell.'!B158</f>
        <v>Váltókiadások</v>
      </c>
      <c r="C156" s="786"/>
      <c r="D156" s="506"/>
      <c r="E156" s="299"/>
    </row>
    <row r="157" spans="1:6" ht="15" customHeight="1" thickBot="1">
      <c r="A157" s="449">
        <f>'KV_1.1.sz.mell.'!A159</f>
        <v>61</v>
      </c>
      <c r="B157" s="90" t="str">
        <f>'KV_1.1.sz.mell.'!B159</f>
        <v>FINANSZÍROZÁSI KIADÁSOK ÖSSZESEN: (37+41+48+53+59+60)</v>
      </c>
      <c r="C157" s="787">
        <f>+C133+C137+C144+C149+C155+C156</f>
        <v>23897747</v>
      </c>
      <c r="D157" s="454">
        <f>+D133+D137+D144+D149+D155+D156</f>
        <v>24305728</v>
      </c>
      <c r="E157" s="340">
        <f>+E133+E137+E144+E149+E155+E156</f>
        <v>28057064</v>
      </c>
      <c r="F157" s="85"/>
    </row>
    <row r="158" spans="1:5" s="1" customFormat="1" ht="12.75" customHeight="1" thickBot="1">
      <c r="A158" s="449">
        <f>'KV_1.1.sz.mell.'!A160</f>
        <v>62</v>
      </c>
      <c r="B158" s="507" t="str">
        <f>'KV_1.1.sz.mell.'!B160</f>
        <v>KIADÁSOK ÖSSZESEN: (36.+61)</v>
      </c>
      <c r="C158" s="787">
        <f>+C132+C157</f>
        <v>1290742542</v>
      </c>
      <c r="D158" s="454">
        <f>+D132+D157</f>
        <v>1464035140</v>
      </c>
      <c r="E158" s="340">
        <f>+E132+E157</f>
        <v>1554933244</v>
      </c>
    </row>
    <row r="159" spans="1:5" ht="15.75">
      <c r="A159" s="255"/>
      <c r="B159" s="508"/>
      <c r="C159" s="508"/>
      <c r="D159" s="508"/>
      <c r="E159" s="512">
        <f>E91-E158</f>
        <v>0</v>
      </c>
    </row>
    <row r="160" ht="15.75">
      <c r="C160" s="254"/>
    </row>
    <row r="161" ht="15.75">
      <c r="C161" s="254"/>
    </row>
    <row r="162" ht="16.5" customHeight="1">
      <c r="C162" s="254"/>
    </row>
    <row r="163" ht="15.75">
      <c r="C163" s="254"/>
    </row>
    <row r="164" ht="15.75">
      <c r="C164" s="254"/>
    </row>
    <row r="165" ht="15.75">
      <c r="C165" s="254"/>
    </row>
    <row r="166" ht="15.75">
      <c r="C166" s="254"/>
    </row>
    <row r="167" ht="15.75">
      <c r="C167" s="254"/>
    </row>
    <row r="168" ht="15.75">
      <c r="C168" s="254"/>
    </row>
    <row r="169" ht="15.75">
      <c r="C169" s="254"/>
    </row>
    <row r="170" ht="15.75">
      <c r="C170" s="254"/>
    </row>
    <row r="171" ht="15.75">
      <c r="C171" s="254"/>
    </row>
  </sheetData>
  <sheetProtection/>
  <mergeCells count="8">
    <mergeCell ref="B1:E1"/>
    <mergeCell ref="A4:E4"/>
    <mergeCell ref="A93:E93"/>
    <mergeCell ref="A94:B94"/>
    <mergeCell ref="A5:B5"/>
    <mergeCell ref="A2:E2"/>
    <mergeCell ref="A3:E3"/>
    <mergeCell ref="D5:E5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2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zoomScale="120" zoomScaleNormal="120" workbookViewId="0" topLeftCell="A1">
      <selection activeCell="S25" sqref="S25"/>
    </sheetView>
  </sheetViews>
  <sheetFormatPr defaultColWidth="9.00390625" defaultRowHeight="12.75"/>
  <cols>
    <col min="1" max="1" width="6.875" style="131" customWidth="1"/>
    <col min="2" max="2" width="44.625" style="32" customWidth="1"/>
    <col min="3" max="8" width="12.875" style="32" customWidth="1"/>
    <col min="9" max="9" width="14.375" style="32" customWidth="1"/>
    <col min="10" max="16384" width="9.375" style="32" customWidth="1"/>
  </cols>
  <sheetData>
    <row r="1" spans="5:9" ht="12.75">
      <c r="E1" s="923" t="s">
        <v>865</v>
      </c>
      <c r="F1" s="924"/>
      <c r="G1" s="924"/>
      <c r="H1" s="924"/>
      <c r="I1" s="924"/>
    </row>
    <row r="2" spans="1:9" ht="27.75" customHeight="1">
      <c r="A2" s="860" t="s">
        <v>3</v>
      </c>
      <c r="B2" s="860"/>
      <c r="C2" s="860"/>
      <c r="D2" s="860"/>
      <c r="E2" s="860"/>
      <c r="F2" s="860"/>
      <c r="G2" s="860"/>
      <c r="H2" s="860"/>
      <c r="I2" s="860"/>
    </row>
    <row r="3" spans="8:9" ht="20.25" customHeight="1" thickBot="1">
      <c r="H3" s="922" t="s">
        <v>319</v>
      </c>
      <c r="I3" s="922"/>
    </row>
    <row r="4" spans="1:9" s="292" customFormat="1" ht="26.25" customHeight="1">
      <c r="A4" s="932" t="s">
        <v>65</v>
      </c>
      <c r="B4" s="927" t="s">
        <v>81</v>
      </c>
      <c r="C4" s="932" t="s">
        <v>82</v>
      </c>
      <c r="D4" s="932" t="str">
        <f>+CONCATENATE(LEFT(KV_ÖSSZEFÜGGÉSEK!A5,4)," előtti kifizetés")</f>
        <v>2023 előtti kifizetés</v>
      </c>
      <c r="E4" s="929" t="s">
        <v>64</v>
      </c>
      <c r="F4" s="930"/>
      <c r="G4" s="930"/>
      <c r="H4" s="931"/>
      <c r="I4" s="927" t="s">
        <v>48</v>
      </c>
    </row>
    <row r="5" spans="1:9" s="293" customFormat="1" ht="32.25" customHeight="1" thickBot="1">
      <c r="A5" s="933"/>
      <c r="B5" s="928"/>
      <c r="C5" s="928"/>
      <c r="D5" s="933"/>
      <c r="E5" s="186" t="str">
        <f>+CONCATENATE(LEFT(KV_ÖSSZEFÜGGÉSEK!A5,4),".")</f>
        <v>2023.</v>
      </c>
      <c r="F5" s="186" t="str">
        <f>+CONCATENATE(LEFT(KV_ÖSSZEFÜGGÉSEK!A5,4)+1,".")</f>
        <v>2024.</v>
      </c>
      <c r="G5" s="186" t="str">
        <f>+CONCATENATE(LEFT(KV_ÖSSZEFÜGGÉSEK!A5,4)+2,".")</f>
        <v>2025.</v>
      </c>
      <c r="H5" s="187" t="str">
        <f>+CONCATENATE(LEFT(KV_ÖSSZEFÜGGÉSEK!A5,4)+2,".",CHAR(10)," után")</f>
        <v>2025.
 után</v>
      </c>
      <c r="I5" s="928"/>
    </row>
    <row r="6" spans="1:9" s="294" customFormat="1" ht="12.75" customHeight="1" thickBot="1">
      <c r="A6" s="188" t="s">
        <v>294</v>
      </c>
      <c r="B6" s="189" t="s">
        <v>295</v>
      </c>
      <c r="C6" s="190" t="s">
        <v>296</v>
      </c>
      <c r="D6" s="189" t="s">
        <v>298</v>
      </c>
      <c r="E6" s="188" t="s">
        <v>297</v>
      </c>
      <c r="F6" s="190" t="s">
        <v>299</v>
      </c>
      <c r="G6" s="190" t="s">
        <v>300</v>
      </c>
      <c r="H6" s="191" t="s">
        <v>301</v>
      </c>
      <c r="I6" s="192" t="s">
        <v>302</v>
      </c>
    </row>
    <row r="7" spans="1:9" ht="24.75" customHeight="1" thickBot="1">
      <c r="A7" s="193" t="s">
        <v>16</v>
      </c>
      <c r="B7" s="576" t="s">
        <v>4</v>
      </c>
      <c r="C7" s="309"/>
      <c r="D7" s="310">
        <f>+D8+D9</f>
        <v>0</v>
      </c>
      <c r="E7" s="311">
        <f>+E8+E9</f>
        <v>0</v>
      </c>
      <c r="F7" s="312">
        <f>+F8+F9</f>
        <v>0</v>
      </c>
      <c r="G7" s="312">
        <f>+G8+G9</f>
        <v>0</v>
      </c>
      <c r="H7" s="313">
        <f>+H8+H9</f>
        <v>0</v>
      </c>
      <c r="I7" s="45">
        <f aca="true" t="shared" si="0" ref="I7:I19">SUM(D7:H7)</f>
        <v>0</v>
      </c>
    </row>
    <row r="8" spans="1:9" ht="19.5" customHeight="1">
      <c r="A8" s="194" t="s">
        <v>17</v>
      </c>
      <c r="B8" s="577" t="s">
        <v>66</v>
      </c>
      <c r="C8" s="314"/>
      <c r="D8" s="315"/>
      <c r="E8" s="316"/>
      <c r="F8" s="317"/>
      <c r="G8" s="317"/>
      <c r="H8" s="318"/>
      <c r="I8" s="195">
        <f t="shared" si="0"/>
        <v>0</v>
      </c>
    </row>
    <row r="9" spans="1:9" ht="19.5" customHeight="1" thickBot="1">
      <c r="A9" s="194" t="s">
        <v>18</v>
      </c>
      <c r="B9" s="577" t="s">
        <v>66</v>
      </c>
      <c r="C9" s="314"/>
      <c r="D9" s="315"/>
      <c r="E9" s="316"/>
      <c r="F9" s="317"/>
      <c r="G9" s="317"/>
      <c r="H9" s="318"/>
      <c r="I9" s="195">
        <f t="shared" si="0"/>
        <v>0</v>
      </c>
    </row>
    <row r="10" spans="1:9" ht="25.5" customHeight="1" thickBot="1">
      <c r="A10" s="193" t="s">
        <v>19</v>
      </c>
      <c r="B10" s="576" t="s">
        <v>5</v>
      </c>
      <c r="C10" s="309"/>
      <c r="D10" s="310">
        <f>+D11+D12</f>
        <v>2982026</v>
      </c>
      <c r="E10" s="311">
        <f>+E11+E12</f>
        <v>1235969</v>
      </c>
      <c r="F10" s="312">
        <f>+F11+F12</f>
        <v>307005</v>
      </c>
      <c r="G10" s="312">
        <f>+G11+G12</f>
        <v>0</v>
      </c>
      <c r="H10" s="313">
        <f>+H11+H12</f>
        <v>0</v>
      </c>
      <c r="I10" s="45">
        <f t="shared" si="0"/>
        <v>4525000</v>
      </c>
    </row>
    <row r="11" spans="1:9" ht="19.5" customHeight="1">
      <c r="A11" s="194" t="s">
        <v>20</v>
      </c>
      <c r="B11" s="577" t="s">
        <v>692</v>
      </c>
      <c r="C11" s="314" t="s">
        <v>693</v>
      </c>
      <c r="D11" s="315">
        <v>2982026</v>
      </c>
      <c r="E11" s="316">
        <v>1235969</v>
      </c>
      <c r="F11" s="317">
        <v>307005</v>
      </c>
      <c r="G11" s="317"/>
      <c r="H11" s="318"/>
      <c r="I11" s="195">
        <f t="shared" si="0"/>
        <v>4525000</v>
      </c>
    </row>
    <row r="12" spans="1:9" ht="19.5" customHeight="1" thickBot="1">
      <c r="A12" s="194" t="s">
        <v>21</v>
      </c>
      <c r="B12" s="577" t="s">
        <v>66</v>
      </c>
      <c r="C12" s="314"/>
      <c r="D12" s="315"/>
      <c r="E12" s="316"/>
      <c r="F12" s="317"/>
      <c r="G12" s="317"/>
      <c r="H12" s="318"/>
      <c r="I12" s="195">
        <f t="shared" si="0"/>
        <v>0</v>
      </c>
    </row>
    <row r="13" spans="1:9" ht="19.5" customHeight="1" thickBot="1">
      <c r="A13" s="193" t="s">
        <v>22</v>
      </c>
      <c r="B13" s="576" t="s">
        <v>146</v>
      </c>
      <c r="C13" s="309"/>
      <c r="D13" s="310">
        <f>+D14</f>
        <v>8560800</v>
      </c>
      <c r="E13" s="311">
        <f>+E14</f>
        <v>139931497</v>
      </c>
      <c r="F13" s="312">
        <f>+F14</f>
        <v>0</v>
      </c>
      <c r="G13" s="312">
        <f>+G14</f>
        <v>0</v>
      </c>
      <c r="H13" s="313">
        <f>+H14</f>
        <v>0</v>
      </c>
      <c r="I13" s="45">
        <f t="shared" si="0"/>
        <v>148492297</v>
      </c>
    </row>
    <row r="14" spans="1:9" ht="19.5" customHeight="1">
      <c r="A14" s="194" t="s">
        <v>23</v>
      </c>
      <c r="B14" s="577" t="s">
        <v>782</v>
      </c>
      <c r="C14" s="314" t="s">
        <v>694</v>
      </c>
      <c r="D14" s="315">
        <v>8560800</v>
      </c>
      <c r="E14" s="316">
        <v>139931497</v>
      </c>
      <c r="F14" s="317"/>
      <c r="G14" s="317"/>
      <c r="H14" s="318"/>
      <c r="I14" s="195">
        <f t="shared" si="0"/>
        <v>148492297</v>
      </c>
    </row>
    <row r="15" spans="1:9" ht="19.5" customHeight="1" thickBot="1">
      <c r="A15" s="194" t="s">
        <v>24</v>
      </c>
      <c r="B15" s="805" t="s">
        <v>856</v>
      </c>
      <c r="C15" s="806" t="s">
        <v>849</v>
      </c>
      <c r="D15" s="325">
        <v>2533518</v>
      </c>
      <c r="E15" s="326">
        <v>2466482</v>
      </c>
      <c r="F15" s="327"/>
      <c r="G15" s="327"/>
      <c r="H15" s="328"/>
      <c r="I15" s="195">
        <f t="shared" si="0"/>
        <v>5000000</v>
      </c>
    </row>
    <row r="16" spans="1:9" ht="19.5" customHeight="1" thickBot="1">
      <c r="A16" s="194" t="s">
        <v>25</v>
      </c>
      <c r="B16" s="576" t="s">
        <v>147</v>
      </c>
      <c r="C16" s="309"/>
      <c r="D16" s="310">
        <f>+D17</f>
        <v>0</v>
      </c>
      <c r="E16" s="311">
        <f>+E17</f>
        <v>0</v>
      </c>
      <c r="F16" s="312">
        <f>+F17</f>
        <v>0</v>
      </c>
      <c r="G16" s="312">
        <f>+G17</f>
        <v>0</v>
      </c>
      <c r="H16" s="313">
        <f>+H17</f>
        <v>0</v>
      </c>
      <c r="I16" s="45">
        <f t="shared" si="0"/>
        <v>0</v>
      </c>
    </row>
    <row r="17" spans="1:9" ht="19.5" customHeight="1" thickBot="1">
      <c r="A17" s="194" t="s">
        <v>26</v>
      </c>
      <c r="B17" s="578" t="s">
        <v>66</v>
      </c>
      <c r="C17" s="319"/>
      <c r="D17" s="320"/>
      <c r="E17" s="321"/>
      <c r="F17" s="322"/>
      <c r="G17" s="322"/>
      <c r="H17" s="323"/>
      <c r="I17" s="196">
        <f t="shared" si="0"/>
        <v>0</v>
      </c>
    </row>
    <row r="18" spans="1:9" ht="19.5" customHeight="1" thickBot="1">
      <c r="A18" s="194" t="s">
        <v>27</v>
      </c>
      <c r="B18" s="579" t="s">
        <v>148</v>
      </c>
      <c r="C18" s="309"/>
      <c r="D18" s="310">
        <f>+D19</f>
        <v>0</v>
      </c>
      <c r="E18" s="311">
        <f>+E19</f>
        <v>0</v>
      </c>
      <c r="F18" s="312">
        <f>+F19</f>
        <v>0</v>
      </c>
      <c r="G18" s="312">
        <f>+G19</f>
        <v>0</v>
      </c>
      <c r="H18" s="313">
        <f>+H19</f>
        <v>0</v>
      </c>
      <c r="I18" s="45">
        <f t="shared" si="0"/>
        <v>0</v>
      </c>
    </row>
    <row r="19" spans="1:9" ht="19.5" customHeight="1" thickBot="1">
      <c r="A19" s="194" t="s">
        <v>28</v>
      </c>
      <c r="B19" s="580" t="s">
        <v>66</v>
      </c>
      <c r="C19" s="324"/>
      <c r="D19" s="325"/>
      <c r="E19" s="326"/>
      <c r="F19" s="327"/>
      <c r="G19" s="327"/>
      <c r="H19" s="328"/>
      <c r="I19" s="197">
        <f t="shared" si="0"/>
        <v>0</v>
      </c>
    </row>
    <row r="20" spans="1:9" ht="19.5" customHeight="1" thickBot="1">
      <c r="A20" s="925" t="s">
        <v>109</v>
      </c>
      <c r="B20" s="926"/>
      <c r="C20" s="581"/>
      <c r="D20" s="310">
        <f aca="true" t="shared" si="1" ref="D20:I20">+D7+D10+D13+D16+D18</f>
        <v>11542826</v>
      </c>
      <c r="E20" s="311">
        <f t="shared" si="1"/>
        <v>141167466</v>
      </c>
      <c r="F20" s="312">
        <f t="shared" si="1"/>
        <v>307005</v>
      </c>
      <c r="G20" s="312">
        <f t="shared" si="1"/>
        <v>0</v>
      </c>
      <c r="H20" s="313">
        <f t="shared" si="1"/>
        <v>0</v>
      </c>
      <c r="I20" s="45">
        <f t="shared" si="1"/>
        <v>153017297</v>
      </c>
    </row>
  </sheetData>
  <sheetProtection/>
  <mergeCells count="10">
    <mergeCell ref="E1:I1"/>
    <mergeCell ref="A2:I2"/>
    <mergeCell ref="A20:B20"/>
    <mergeCell ref="I4:I5"/>
    <mergeCell ref="E4:H4"/>
    <mergeCell ref="A4:A5"/>
    <mergeCell ref="B4:B5"/>
    <mergeCell ref="C4:C5"/>
    <mergeCell ref="D4:D5"/>
    <mergeCell ref="H3:I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zoomScale="120" zoomScaleNormal="120" workbookViewId="0" topLeftCell="A1">
      <selection activeCell="R25" sqref="R25"/>
    </sheetView>
  </sheetViews>
  <sheetFormatPr defaultColWidth="9.00390625" defaultRowHeight="12.75"/>
  <cols>
    <col min="1" max="1" width="5.875" style="5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14.25" customHeight="1">
      <c r="B1" s="937" t="s">
        <v>866</v>
      </c>
      <c r="C1" s="863"/>
      <c r="D1" s="863"/>
    </row>
    <row r="3" spans="2:4" ht="31.5" customHeight="1">
      <c r="B3" s="935" t="s">
        <v>6</v>
      </c>
      <c r="C3" s="935"/>
      <c r="D3" s="935"/>
    </row>
    <row r="4" spans="1:4" s="47" customFormat="1" ht="16.5" thickBot="1">
      <c r="A4" s="46"/>
      <c r="B4" s="248"/>
      <c r="C4" s="936" t="s">
        <v>319</v>
      </c>
      <c r="D4" s="936"/>
    </row>
    <row r="5" spans="1:4" s="49" customFormat="1" ht="48" customHeight="1" thickBot="1">
      <c r="A5" s="48" t="s">
        <v>14</v>
      </c>
      <c r="B5" s="137" t="s">
        <v>15</v>
      </c>
      <c r="C5" s="137" t="s">
        <v>67</v>
      </c>
      <c r="D5" s="138" t="s">
        <v>68</v>
      </c>
    </row>
    <row r="6" spans="1:4" s="49" customFormat="1" ht="13.5" customHeight="1" thickBot="1">
      <c r="A6" s="15" t="s">
        <v>294</v>
      </c>
      <c r="B6" s="139" t="s">
        <v>295</v>
      </c>
      <c r="C6" s="139" t="s">
        <v>296</v>
      </c>
      <c r="D6" s="140" t="s">
        <v>298</v>
      </c>
    </row>
    <row r="7" spans="1:4" ht="18" customHeight="1">
      <c r="A7" s="93" t="s">
        <v>16</v>
      </c>
      <c r="B7" s="141" t="s">
        <v>126</v>
      </c>
      <c r="C7" s="91"/>
      <c r="D7" s="50"/>
    </row>
    <row r="8" spans="1:4" ht="18" customHeight="1">
      <c r="A8" s="51" t="s">
        <v>17</v>
      </c>
      <c r="B8" s="142" t="s">
        <v>127</v>
      </c>
      <c r="C8" s="92"/>
      <c r="D8" s="53"/>
    </row>
    <row r="9" spans="1:4" ht="18" customHeight="1">
      <c r="A9" s="51" t="s">
        <v>18</v>
      </c>
      <c r="B9" s="142" t="s">
        <v>86</v>
      </c>
      <c r="C9" s="92"/>
      <c r="D9" s="53"/>
    </row>
    <row r="10" spans="1:4" ht="18" customHeight="1">
      <c r="A10" s="51" t="s">
        <v>19</v>
      </c>
      <c r="B10" s="142" t="s">
        <v>87</v>
      </c>
      <c r="C10" s="92"/>
      <c r="D10" s="53"/>
    </row>
    <row r="11" spans="1:4" ht="18" customHeight="1">
      <c r="A11" s="51" t="s">
        <v>20</v>
      </c>
      <c r="B11" s="142" t="s">
        <v>119</v>
      </c>
      <c r="C11" s="92">
        <v>650000</v>
      </c>
      <c r="D11" s="53">
        <v>650000</v>
      </c>
    </row>
    <row r="12" spans="1:4" ht="18" customHeight="1">
      <c r="A12" s="51" t="s">
        <v>21</v>
      </c>
      <c r="B12" s="142" t="s">
        <v>120</v>
      </c>
      <c r="C12" s="92"/>
      <c r="D12" s="53"/>
    </row>
    <row r="13" spans="1:4" ht="18" customHeight="1">
      <c r="A13" s="51" t="s">
        <v>22</v>
      </c>
      <c r="B13" s="143" t="s">
        <v>121</v>
      </c>
      <c r="C13" s="92"/>
      <c r="D13" s="53"/>
    </row>
    <row r="14" spans="1:4" ht="18" customHeight="1">
      <c r="A14" s="51" t="s">
        <v>24</v>
      </c>
      <c r="B14" s="143" t="s">
        <v>122</v>
      </c>
      <c r="C14" s="92">
        <v>650000</v>
      </c>
      <c r="D14" s="53">
        <v>650000</v>
      </c>
    </row>
    <row r="15" spans="1:4" ht="18" customHeight="1">
      <c r="A15" s="51" t="s">
        <v>25</v>
      </c>
      <c r="B15" s="143" t="s">
        <v>123</v>
      </c>
      <c r="C15" s="92"/>
      <c r="D15" s="53"/>
    </row>
    <row r="16" spans="1:4" ht="18" customHeight="1">
      <c r="A16" s="51" t="s">
        <v>26</v>
      </c>
      <c r="B16" s="143" t="s">
        <v>124</v>
      </c>
      <c r="C16" s="92"/>
      <c r="D16" s="53"/>
    </row>
    <row r="17" spans="1:4" ht="22.5" customHeight="1">
      <c r="A17" s="51" t="s">
        <v>27</v>
      </c>
      <c r="B17" s="143" t="s">
        <v>125</v>
      </c>
      <c r="C17" s="92"/>
      <c r="D17" s="53"/>
    </row>
    <row r="18" spans="1:4" ht="18" customHeight="1">
      <c r="A18" s="51" t="s">
        <v>28</v>
      </c>
      <c r="B18" s="142" t="s">
        <v>88</v>
      </c>
      <c r="C18" s="92"/>
      <c r="D18" s="53"/>
    </row>
    <row r="19" spans="1:4" ht="18" customHeight="1">
      <c r="A19" s="51" t="s">
        <v>29</v>
      </c>
      <c r="B19" s="142" t="s">
        <v>8</v>
      </c>
      <c r="C19" s="92"/>
      <c r="D19" s="53"/>
    </row>
    <row r="20" spans="1:4" ht="18" customHeight="1">
      <c r="A20" s="51" t="s">
        <v>30</v>
      </c>
      <c r="B20" s="142" t="s">
        <v>7</v>
      </c>
      <c r="C20" s="92"/>
      <c r="D20" s="53"/>
    </row>
    <row r="21" spans="1:4" ht="18" customHeight="1">
      <c r="A21" s="51" t="s">
        <v>31</v>
      </c>
      <c r="B21" s="142" t="s">
        <v>89</v>
      </c>
      <c r="C21" s="92"/>
      <c r="D21" s="53"/>
    </row>
    <row r="22" spans="1:4" ht="18" customHeight="1">
      <c r="A22" s="51" t="s">
        <v>32</v>
      </c>
      <c r="B22" s="142" t="s">
        <v>90</v>
      </c>
      <c r="C22" s="92"/>
      <c r="D22" s="53"/>
    </row>
    <row r="23" spans="1:4" ht="18" customHeight="1" thickBot="1">
      <c r="A23" s="51" t="s">
        <v>33</v>
      </c>
      <c r="B23" s="83"/>
      <c r="C23" s="52"/>
      <c r="D23" s="53"/>
    </row>
    <row r="24" spans="1:4" ht="18" customHeight="1" thickBot="1">
      <c r="A24" s="16" t="s">
        <v>42</v>
      </c>
      <c r="B24" s="146" t="s">
        <v>50</v>
      </c>
      <c r="C24" s="147">
        <f>+C7+C8+C9+C10+C11+C18+C19+C20+C21+C22+C23</f>
        <v>650000</v>
      </c>
      <c r="D24" s="148">
        <f>+D7+D8+D9+D10+D11+D18+D19+D20+D21+D22+D23</f>
        <v>650000</v>
      </c>
    </row>
    <row r="25" spans="1:4" ht="8.25" customHeight="1">
      <c r="A25" s="54"/>
      <c r="B25" s="934"/>
      <c r="C25" s="934"/>
      <c r="D25" s="934"/>
    </row>
  </sheetData>
  <sheetProtection/>
  <mergeCells count="4">
    <mergeCell ref="B25:D25"/>
    <mergeCell ref="B3:D3"/>
    <mergeCell ref="C4:D4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20" zoomScaleNormal="120" workbookViewId="0" topLeftCell="A1">
      <selection activeCell="A1" sqref="A1:O26"/>
    </sheetView>
  </sheetViews>
  <sheetFormatPr defaultColWidth="9.00390625" defaultRowHeight="12.75"/>
  <cols>
    <col min="1" max="1" width="6.125" style="64" customWidth="1"/>
    <col min="2" max="2" width="31.125" style="75" customWidth="1"/>
    <col min="3" max="4" width="9.00390625" style="75" customWidth="1"/>
    <col min="5" max="5" width="9.50390625" style="75" customWidth="1"/>
    <col min="6" max="6" width="8.875" style="75" customWidth="1"/>
    <col min="7" max="7" width="8.625" style="75" customWidth="1"/>
    <col min="8" max="8" width="8.875" style="75" customWidth="1"/>
    <col min="9" max="9" width="8.125" style="75" customWidth="1"/>
    <col min="10" max="14" width="9.50390625" style="75" customWidth="1"/>
    <col min="15" max="15" width="12.625" style="64" customWidth="1"/>
    <col min="16" max="16" width="13.375" style="75" bestFit="1" customWidth="1"/>
    <col min="17" max="16384" width="9.375" style="75" customWidth="1"/>
  </cols>
  <sheetData>
    <row r="1" spans="9:15" ht="15.75">
      <c r="I1" s="943" t="s">
        <v>867</v>
      </c>
      <c r="J1" s="944"/>
      <c r="K1" s="944"/>
      <c r="L1" s="944"/>
      <c r="M1" s="944"/>
      <c r="N1" s="944"/>
      <c r="O1" s="944"/>
    </row>
    <row r="2" spans="1:15" ht="31.5" customHeight="1">
      <c r="A2" s="941" t="str">
        <f>+CONCATENATE("Előirányzat-felhasználási terv",CHAR(10),LEFT(KV_ÖSSZEFÜGGÉSEK!A5,4),". évre")</f>
        <v>Előirányzat-felhasználási terv
2023. évre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</row>
    <row r="3" ht="16.5" thickBot="1">
      <c r="O3" s="4" t="s">
        <v>319</v>
      </c>
    </row>
    <row r="4" spans="1:15" s="64" customFormat="1" ht="25.5" customHeight="1" thickBot="1">
      <c r="A4" s="637" t="s">
        <v>14</v>
      </c>
      <c r="B4" s="62" t="s">
        <v>57</v>
      </c>
      <c r="C4" s="62" t="s">
        <v>69</v>
      </c>
      <c r="D4" s="62" t="s">
        <v>70</v>
      </c>
      <c r="E4" s="62" t="s">
        <v>71</v>
      </c>
      <c r="F4" s="62" t="s">
        <v>72</v>
      </c>
      <c r="G4" s="62" t="s">
        <v>73</v>
      </c>
      <c r="H4" s="62" t="s">
        <v>74</v>
      </c>
      <c r="I4" s="62" t="s">
        <v>75</v>
      </c>
      <c r="J4" s="62" t="s">
        <v>76</v>
      </c>
      <c r="K4" s="62" t="s">
        <v>77</v>
      </c>
      <c r="L4" s="62" t="s">
        <v>78</v>
      </c>
      <c r="M4" s="62" t="s">
        <v>79</v>
      </c>
      <c r="N4" s="62" t="s">
        <v>80</v>
      </c>
      <c r="O4" s="63" t="s">
        <v>50</v>
      </c>
    </row>
    <row r="5" spans="1:15" s="66" customFormat="1" ht="15" customHeight="1" thickBot="1">
      <c r="A5" s="65" t="s">
        <v>16</v>
      </c>
      <c r="B5" s="938" t="s">
        <v>53</v>
      </c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40"/>
    </row>
    <row r="6" spans="1:15" s="69" customFormat="1" ht="22.5">
      <c r="A6" s="67" t="s">
        <v>17</v>
      </c>
      <c r="B6" s="200" t="s">
        <v>263</v>
      </c>
      <c r="C6" s="329">
        <v>60273200</v>
      </c>
      <c r="D6" s="329">
        <v>139703946</v>
      </c>
      <c r="E6" s="329">
        <v>60273200</v>
      </c>
      <c r="F6" s="329">
        <v>59627200</v>
      </c>
      <c r="G6" s="329">
        <v>59627200</v>
      </c>
      <c r="H6" s="329">
        <v>59627200</v>
      </c>
      <c r="I6" s="329">
        <v>59627200</v>
      </c>
      <c r="J6" s="329">
        <v>59627200</v>
      </c>
      <c r="K6" s="329">
        <v>59627200</v>
      </c>
      <c r="L6" s="329">
        <v>59627200</v>
      </c>
      <c r="M6" s="329">
        <v>59627200</v>
      </c>
      <c r="N6" s="329">
        <v>59627200</v>
      </c>
      <c r="O6" s="68">
        <f aca="true" t="shared" si="0" ref="O6:O25">SUM(C6:N6)</f>
        <v>796895146</v>
      </c>
    </row>
    <row r="7" spans="1:15" s="69" customFormat="1" ht="22.5">
      <c r="A7" s="67" t="s">
        <v>18</v>
      </c>
      <c r="B7" s="199" t="s">
        <v>264</v>
      </c>
      <c r="C7" s="330"/>
      <c r="D7" s="330"/>
      <c r="E7" s="330">
        <v>54557620</v>
      </c>
      <c r="F7" s="330"/>
      <c r="G7" s="330"/>
      <c r="H7" s="330"/>
      <c r="I7" s="330"/>
      <c r="J7" s="330"/>
      <c r="K7" s="330"/>
      <c r="L7" s="330"/>
      <c r="M7" s="330"/>
      <c r="N7" s="330"/>
      <c r="O7" s="70">
        <f t="shared" si="0"/>
        <v>54557620</v>
      </c>
    </row>
    <row r="8" spans="1:15" s="69" customFormat="1" ht="13.5" customHeight="1">
      <c r="A8" s="67" t="s">
        <v>19</v>
      </c>
      <c r="B8" s="198" t="s">
        <v>130</v>
      </c>
      <c r="C8" s="329"/>
      <c r="D8" s="329"/>
      <c r="E8" s="329">
        <v>144000000</v>
      </c>
      <c r="F8" s="329">
        <v>27000000</v>
      </c>
      <c r="G8" s="329"/>
      <c r="H8" s="329"/>
      <c r="I8" s="329">
        <v>3000000</v>
      </c>
      <c r="J8" s="329">
        <v>50000000</v>
      </c>
      <c r="K8" s="329">
        <v>145000000</v>
      </c>
      <c r="L8" s="329"/>
      <c r="M8" s="329"/>
      <c r="N8" s="329"/>
      <c r="O8" s="68">
        <f t="shared" si="0"/>
        <v>369000000</v>
      </c>
    </row>
    <row r="9" spans="1:15" s="69" customFormat="1" ht="13.5" customHeight="1">
      <c r="A9" s="67" t="s">
        <v>20</v>
      </c>
      <c r="B9" s="198" t="s">
        <v>265</v>
      </c>
      <c r="C9" s="329">
        <v>2500000</v>
      </c>
      <c r="D9" s="329">
        <v>2600000</v>
      </c>
      <c r="E9" s="329">
        <v>2500000</v>
      </c>
      <c r="F9" s="329">
        <v>2700000</v>
      </c>
      <c r="G9" s="329">
        <v>2800000</v>
      </c>
      <c r="H9" s="329">
        <v>2600000</v>
      </c>
      <c r="I9" s="329">
        <v>2800000</v>
      </c>
      <c r="J9" s="329">
        <v>2600000</v>
      </c>
      <c r="K9" s="329">
        <v>2900000</v>
      </c>
      <c r="L9" s="329">
        <v>2800000</v>
      </c>
      <c r="M9" s="329">
        <v>2800000</v>
      </c>
      <c r="N9" s="329">
        <v>2654059</v>
      </c>
      <c r="O9" s="68">
        <f t="shared" si="0"/>
        <v>32254059</v>
      </c>
    </row>
    <row r="10" spans="1:15" s="69" customFormat="1" ht="13.5" customHeight="1">
      <c r="A10" s="67" t="s">
        <v>21</v>
      </c>
      <c r="B10" s="198" t="s">
        <v>9</v>
      </c>
      <c r="C10" s="329"/>
      <c r="D10" s="329"/>
      <c r="E10" s="329">
        <v>10000000</v>
      </c>
      <c r="F10" s="329"/>
      <c r="G10" s="329">
        <v>20000000</v>
      </c>
      <c r="H10" s="329">
        <v>10000000</v>
      </c>
      <c r="I10" s="329">
        <v>20000000</v>
      </c>
      <c r="J10" s="329"/>
      <c r="K10" s="329"/>
      <c r="L10" s="329">
        <v>9000000</v>
      </c>
      <c r="M10" s="329"/>
      <c r="N10" s="329"/>
      <c r="O10" s="68">
        <f t="shared" si="0"/>
        <v>69000000</v>
      </c>
    </row>
    <row r="11" spans="1:15" s="69" customFormat="1" ht="13.5" customHeight="1">
      <c r="A11" s="67" t="s">
        <v>22</v>
      </c>
      <c r="B11" s="198" t="s">
        <v>245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68">
        <f t="shared" si="0"/>
        <v>0</v>
      </c>
    </row>
    <row r="12" spans="1:15" s="69" customFormat="1" ht="22.5">
      <c r="A12" s="67" t="s">
        <v>23</v>
      </c>
      <c r="B12" s="200" t="s">
        <v>261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68">
        <f t="shared" si="0"/>
        <v>0</v>
      </c>
    </row>
    <row r="13" spans="1:15" s="69" customFormat="1" ht="13.5" customHeight="1" thickBot="1">
      <c r="A13" s="67" t="s">
        <v>24</v>
      </c>
      <c r="B13" s="198" t="s">
        <v>10</v>
      </c>
      <c r="C13" s="329">
        <v>40000000</v>
      </c>
      <c r="D13" s="329"/>
      <c r="E13" s="329"/>
      <c r="F13" s="329">
        <v>65000000</v>
      </c>
      <c r="G13" s="329">
        <v>20000000</v>
      </c>
      <c r="H13" s="329">
        <v>20000000</v>
      </c>
      <c r="I13" s="329">
        <v>30000000</v>
      </c>
      <c r="J13" s="329"/>
      <c r="K13" s="329"/>
      <c r="L13" s="329">
        <v>45000000</v>
      </c>
      <c r="M13" s="329"/>
      <c r="N13" s="329">
        <v>13226419</v>
      </c>
      <c r="O13" s="68">
        <f t="shared" si="0"/>
        <v>233226419</v>
      </c>
    </row>
    <row r="14" spans="1:15" s="66" customFormat="1" ht="15.75" customHeight="1" thickBot="1">
      <c r="A14" s="652" t="s">
        <v>25</v>
      </c>
      <c r="B14" s="17" t="s">
        <v>83</v>
      </c>
      <c r="C14" s="331">
        <f aca="true" t="shared" si="1" ref="C14:N14">SUM(C6:C13)</f>
        <v>102773200</v>
      </c>
      <c r="D14" s="331">
        <f t="shared" si="1"/>
        <v>142303946</v>
      </c>
      <c r="E14" s="331">
        <f t="shared" si="1"/>
        <v>271330820</v>
      </c>
      <c r="F14" s="331">
        <f t="shared" si="1"/>
        <v>154327200</v>
      </c>
      <c r="G14" s="331">
        <f t="shared" si="1"/>
        <v>102427200</v>
      </c>
      <c r="H14" s="331">
        <f t="shared" si="1"/>
        <v>92227200</v>
      </c>
      <c r="I14" s="331">
        <f t="shared" si="1"/>
        <v>115427200</v>
      </c>
      <c r="J14" s="331">
        <f t="shared" si="1"/>
        <v>112227200</v>
      </c>
      <c r="K14" s="331">
        <f t="shared" si="1"/>
        <v>207527200</v>
      </c>
      <c r="L14" s="331">
        <f t="shared" si="1"/>
        <v>116427200</v>
      </c>
      <c r="M14" s="331">
        <f t="shared" si="1"/>
        <v>62427200</v>
      </c>
      <c r="N14" s="331">
        <f t="shared" si="1"/>
        <v>75507678</v>
      </c>
      <c r="O14" s="71">
        <f>SUM(C14:N14)</f>
        <v>1554933244</v>
      </c>
    </row>
    <row r="15" spans="1:15" s="66" customFormat="1" ht="15" customHeight="1" thickBot="1">
      <c r="A15" s="652" t="s">
        <v>26</v>
      </c>
      <c r="B15" s="938" t="s">
        <v>54</v>
      </c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40"/>
    </row>
    <row r="16" spans="1:15" s="69" customFormat="1" ht="13.5" customHeight="1">
      <c r="A16" s="72" t="s">
        <v>27</v>
      </c>
      <c r="B16" s="201" t="s">
        <v>58</v>
      </c>
      <c r="C16" s="330">
        <v>17348000</v>
      </c>
      <c r="D16" s="330">
        <v>17348000</v>
      </c>
      <c r="E16" s="330">
        <v>17349000</v>
      </c>
      <c r="F16" s="330">
        <v>17085000</v>
      </c>
      <c r="G16" s="330">
        <v>17085000</v>
      </c>
      <c r="H16" s="330">
        <v>17085000</v>
      </c>
      <c r="I16" s="330">
        <v>17085000</v>
      </c>
      <c r="J16" s="330">
        <v>17085000</v>
      </c>
      <c r="K16" s="330">
        <v>17085000</v>
      </c>
      <c r="L16" s="330">
        <v>17085000</v>
      </c>
      <c r="M16" s="330">
        <v>17085000</v>
      </c>
      <c r="N16" s="330">
        <v>17085000</v>
      </c>
      <c r="O16" s="70">
        <f t="shared" si="0"/>
        <v>205810000</v>
      </c>
    </row>
    <row r="17" spans="1:15" s="69" customFormat="1" ht="27" customHeight="1">
      <c r="A17" s="67" t="s">
        <v>28</v>
      </c>
      <c r="B17" s="200" t="s">
        <v>131</v>
      </c>
      <c r="C17" s="329">
        <v>2174600</v>
      </c>
      <c r="D17" s="329">
        <v>2174600</v>
      </c>
      <c r="E17" s="329">
        <v>2174600</v>
      </c>
      <c r="F17" s="329">
        <v>2307930</v>
      </c>
      <c r="G17" s="329">
        <v>2307930</v>
      </c>
      <c r="H17" s="329">
        <v>2307930</v>
      </c>
      <c r="I17" s="329">
        <v>2307930</v>
      </c>
      <c r="J17" s="329">
        <v>2307930</v>
      </c>
      <c r="K17" s="329">
        <v>2307930</v>
      </c>
      <c r="L17" s="329">
        <v>2307930</v>
      </c>
      <c r="M17" s="329">
        <v>2307930</v>
      </c>
      <c r="N17" s="329">
        <v>2307930</v>
      </c>
      <c r="O17" s="68">
        <f t="shared" si="0"/>
        <v>27295170</v>
      </c>
    </row>
    <row r="18" spans="1:15" s="69" customFormat="1" ht="13.5" customHeight="1">
      <c r="A18" s="67" t="s">
        <v>29</v>
      </c>
      <c r="B18" s="198" t="s">
        <v>103</v>
      </c>
      <c r="C18" s="329">
        <v>17500000</v>
      </c>
      <c r="D18" s="329">
        <v>17600000</v>
      </c>
      <c r="E18" s="329">
        <v>19200000</v>
      </c>
      <c r="F18" s="329">
        <v>17600000</v>
      </c>
      <c r="G18" s="329">
        <v>27500000</v>
      </c>
      <c r="H18" s="329">
        <v>7600000</v>
      </c>
      <c r="I18" s="329">
        <v>17500000</v>
      </c>
      <c r="J18" s="329">
        <v>15600000</v>
      </c>
      <c r="K18" s="329">
        <v>19500000</v>
      </c>
      <c r="L18" s="329">
        <v>17600000</v>
      </c>
      <c r="M18" s="329">
        <v>17500000</v>
      </c>
      <c r="N18" s="329">
        <v>17786845</v>
      </c>
      <c r="O18" s="68">
        <f t="shared" si="0"/>
        <v>212486845</v>
      </c>
    </row>
    <row r="19" spans="1:15" s="69" customFormat="1" ht="13.5" customHeight="1">
      <c r="A19" s="67" t="s">
        <v>30</v>
      </c>
      <c r="B19" s="198" t="s">
        <v>132</v>
      </c>
      <c r="C19" s="329">
        <v>1800000</v>
      </c>
      <c r="D19" s="329">
        <v>1400000</v>
      </c>
      <c r="E19" s="329">
        <v>1500000</v>
      </c>
      <c r="F19" s="329">
        <v>1800000</v>
      </c>
      <c r="G19" s="329">
        <v>1200000</v>
      </c>
      <c r="H19" s="329">
        <v>1200000</v>
      </c>
      <c r="I19" s="329">
        <v>1400000</v>
      </c>
      <c r="J19" s="329">
        <v>1800000</v>
      </c>
      <c r="K19" s="329">
        <v>1300000</v>
      </c>
      <c r="L19" s="329">
        <v>1400000</v>
      </c>
      <c r="M19" s="329">
        <v>1300000</v>
      </c>
      <c r="N19" s="329">
        <v>1860000</v>
      </c>
      <c r="O19" s="68">
        <f t="shared" si="0"/>
        <v>17960000</v>
      </c>
    </row>
    <row r="20" spans="1:15" s="69" customFormat="1" ht="13.5" customHeight="1">
      <c r="A20" s="67" t="s">
        <v>31</v>
      </c>
      <c r="B20" s="198" t="s">
        <v>11</v>
      </c>
      <c r="C20" s="329">
        <v>34800000</v>
      </c>
      <c r="D20" s="329">
        <v>79800000</v>
      </c>
      <c r="E20" s="329">
        <v>113100000</v>
      </c>
      <c r="F20" s="329">
        <v>74800000</v>
      </c>
      <c r="G20" s="329">
        <v>74800000</v>
      </c>
      <c r="H20" s="329">
        <v>74800000</v>
      </c>
      <c r="I20" s="329">
        <v>74800000</v>
      </c>
      <c r="J20" s="329">
        <v>74800000</v>
      </c>
      <c r="K20" s="329">
        <v>74800000</v>
      </c>
      <c r="L20" s="329">
        <v>69800000</v>
      </c>
      <c r="M20" s="329">
        <v>74800000</v>
      </c>
      <c r="N20" s="329">
        <v>74744286</v>
      </c>
      <c r="O20" s="68">
        <f t="shared" si="0"/>
        <v>895844286</v>
      </c>
    </row>
    <row r="21" spans="1:15" s="69" customFormat="1" ht="13.5" customHeight="1">
      <c r="A21" s="67" t="s">
        <v>32</v>
      </c>
      <c r="B21" s="198" t="s">
        <v>165</v>
      </c>
      <c r="C21" s="329"/>
      <c r="D21" s="329">
        <v>20000000</v>
      </c>
      <c r="E21" s="329">
        <v>40000000</v>
      </c>
      <c r="F21" s="329">
        <v>40000000</v>
      </c>
      <c r="G21" s="329">
        <v>40000000</v>
      </c>
      <c r="H21" s="329"/>
      <c r="I21" s="329"/>
      <c r="J21" s="329"/>
      <c r="K21" s="329">
        <v>6000000</v>
      </c>
      <c r="L21" s="329">
        <v>6000000</v>
      </c>
      <c r="M21" s="329">
        <v>2000000</v>
      </c>
      <c r="N21" s="329">
        <v>3563979</v>
      </c>
      <c r="O21" s="68">
        <f t="shared" si="0"/>
        <v>157563979</v>
      </c>
    </row>
    <row r="22" spans="1:15" s="69" customFormat="1" ht="15.75">
      <c r="A22" s="67" t="s">
        <v>33</v>
      </c>
      <c r="B22" s="200" t="s">
        <v>134</v>
      </c>
      <c r="C22" s="329"/>
      <c r="D22" s="329"/>
      <c r="E22" s="329">
        <v>2000000</v>
      </c>
      <c r="F22" s="329"/>
      <c r="G22" s="329">
        <v>2000000</v>
      </c>
      <c r="H22" s="329"/>
      <c r="I22" s="329">
        <v>2000000</v>
      </c>
      <c r="J22" s="329"/>
      <c r="K22" s="329">
        <v>2000000</v>
      </c>
      <c r="L22" s="329"/>
      <c r="M22" s="329">
        <v>1700000</v>
      </c>
      <c r="N22" s="329"/>
      <c r="O22" s="68">
        <f t="shared" si="0"/>
        <v>9700000</v>
      </c>
    </row>
    <row r="23" spans="1:15" s="69" customFormat="1" ht="13.5" customHeight="1">
      <c r="A23" s="67" t="s">
        <v>34</v>
      </c>
      <c r="B23" s="198" t="s">
        <v>166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>
        <v>215900</v>
      </c>
      <c r="N23" s="329"/>
      <c r="O23" s="68">
        <f t="shared" si="0"/>
        <v>215900</v>
      </c>
    </row>
    <row r="24" spans="1:15" s="69" customFormat="1" ht="13.5" customHeight="1" thickBot="1">
      <c r="A24" s="67" t="s">
        <v>35</v>
      </c>
      <c r="B24" s="198" t="s">
        <v>12</v>
      </c>
      <c r="C24" s="329">
        <v>26924064</v>
      </c>
      <c r="D24" s="329">
        <v>103000</v>
      </c>
      <c r="E24" s="329">
        <v>103000</v>
      </c>
      <c r="F24" s="329">
        <v>103000</v>
      </c>
      <c r="G24" s="329">
        <v>103000</v>
      </c>
      <c r="H24" s="329">
        <v>103000</v>
      </c>
      <c r="I24" s="329">
        <v>103000</v>
      </c>
      <c r="J24" s="329">
        <v>103000</v>
      </c>
      <c r="K24" s="329">
        <v>103000</v>
      </c>
      <c r="L24" s="329">
        <v>103000</v>
      </c>
      <c r="M24" s="329">
        <v>103000</v>
      </c>
      <c r="N24" s="329">
        <v>103000</v>
      </c>
      <c r="O24" s="68">
        <f t="shared" si="0"/>
        <v>28057064</v>
      </c>
    </row>
    <row r="25" spans="1:15" s="66" customFormat="1" ht="15.75" customHeight="1" thickBot="1">
      <c r="A25" s="73" t="s">
        <v>36</v>
      </c>
      <c r="B25" s="17" t="s">
        <v>84</v>
      </c>
      <c r="C25" s="331">
        <f aca="true" t="shared" si="2" ref="C25:N25">SUM(C16:C24)</f>
        <v>100546664</v>
      </c>
      <c r="D25" s="331">
        <f t="shared" si="2"/>
        <v>138425600</v>
      </c>
      <c r="E25" s="331">
        <f t="shared" si="2"/>
        <v>195426600</v>
      </c>
      <c r="F25" s="331">
        <f t="shared" si="2"/>
        <v>153695930</v>
      </c>
      <c r="G25" s="331">
        <f t="shared" si="2"/>
        <v>164995930</v>
      </c>
      <c r="H25" s="331">
        <f t="shared" si="2"/>
        <v>103095930</v>
      </c>
      <c r="I25" s="331">
        <f t="shared" si="2"/>
        <v>115195930</v>
      </c>
      <c r="J25" s="331">
        <f t="shared" si="2"/>
        <v>111695930</v>
      </c>
      <c r="K25" s="331">
        <f t="shared" si="2"/>
        <v>123095930</v>
      </c>
      <c r="L25" s="331">
        <f t="shared" si="2"/>
        <v>114295930</v>
      </c>
      <c r="M25" s="331">
        <f t="shared" si="2"/>
        <v>117011830</v>
      </c>
      <c r="N25" s="331">
        <f t="shared" si="2"/>
        <v>117451040</v>
      </c>
      <c r="O25" s="71">
        <f t="shared" si="0"/>
        <v>1554933244</v>
      </c>
    </row>
    <row r="26" spans="1:15" ht="16.5" thickBot="1">
      <c r="A26" s="73" t="s">
        <v>37</v>
      </c>
      <c r="B26" s="202" t="s">
        <v>85</v>
      </c>
      <c r="C26" s="332">
        <f aca="true" t="shared" si="3" ref="C26:O26">C14-C25</f>
        <v>2226536</v>
      </c>
      <c r="D26" s="332">
        <f t="shared" si="3"/>
        <v>3878346</v>
      </c>
      <c r="E26" s="332">
        <f t="shared" si="3"/>
        <v>75904220</v>
      </c>
      <c r="F26" s="332">
        <f t="shared" si="3"/>
        <v>631270</v>
      </c>
      <c r="G26" s="332">
        <f t="shared" si="3"/>
        <v>-62568730</v>
      </c>
      <c r="H26" s="332">
        <f t="shared" si="3"/>
        <v>-10868730</v>
      </c>
      <c r="I26" s="332">
        <f t="shared" si="3"/>
        <v>231270</v>
      </c>
      <c r="J26" s="332">
        <f t="shared" si="3"/>
        <v>531270</v>
      </c>
      <c r="K26" s="332">
        <f t="shared" si="3"/>
        <v>84431270</v>
      </c>
      <c r="L26" s="332">
        <f t="shared" si="3"/>
        <v>2131270</v>
      </c>
      <c r="M26" s="332">
        <f t="shared" si="3"/>
        <v>-54584630</v>
      </c>
      <c r="N26" s="332">
        <f t="shared" si="3"/>
        <v>-41943362</v>
      </c>
      <c r="O26" s="74">
        <f t="shared" si="3"/>
        <v>0</v>
      </c>
    </row>
    <row r="27" ht="15.75">
      <c r="A27" s="76"/>
    </row>
    <row r="28" spans="2:15" ht="15.75">
      <c r="B28" s="77"/>
      <c r="C28" s="78"/>
      <c r="D28" s="78"/>
      <c r="O28" s="75"/>
    </row>
    <row r="29" ht="15.75">
      <c r="O29" s="75"/>
    </row>
    <row r="30" ht="15.75">
      <c r="O30" s="75"/>
    </row>
    <row r="31" ht="15.75">
      <c r="O31" s="75"/>
    </row>
    <row r="32" ht="15.75">
      <c r="O32" s="75"/>
    </row>
    <row r="33" ht="15.75">
      <c r="O33" s="75"/>
    </row>
    <row r="34" ht="15.75">
      <c r="O34" s="75"/>
    </row>
    <row r="35" ht="15.75">
      <c r="O35" s="75"/>
    </row>
    <row r="36" ht="15.75">
      <c r="O36" s="75"/>
    </row>
    <row r="37" ht="15.75">
      <c r="O37" s="75"/>
    </row>
    <row r="38" ht="15.75">
      <c r="O38" s="75"/>
    </row>
    <row r="39" ht="15.75">
      <c r="O39" s="75"/>
    </row>
    <row r="40" ht="15.75">
      <c r="O40" s="75"/>
    </row>
    <row r="41" ht="15.75">
      <c r="O41" s="75"/>
    </row>
    <row r="42" ht="15.75">
      <c r="O42" s="75"/>
    </row>
    <row r="43" ht="15.75">
      <c r="O43" s="75"/>
    </row>
    <row r="44" ht="15.75">
      <c r="O44" s="75"/>
    </row>
    <row r="45" ht="15.75">
      <c r="O45" s="75"/>
    </row>
    <row r="46" ht="15.75">
      <c r="O46" s="75"/>
    </row>
    <row r="47" ht="15.75">
      <c r="O47" s="75"/>
    </row>
    <row r="48" ht="15.75">
      <c r="O48" s="75"/>
    </row>
    <row r="49" ht="15.75">
      <c r="O49" s="75"/>
    </row>
    <row r="50" ht="15.75">
      <c r="O50" s="75"/>
    </row>
    <row r="51" ht="15.75">
      <c r="O51" s="75"/>
    </row>
    <row r="52" ht="15.75">
      <c r="O52" s="75"/>
    </row>
    <row r="53" ht="15.75">
      <c r="O53" s="75"/>
    </row>
    <row r="54" ht="15.75">
      <c r="O54" s="75"/>
    </row>
    <row r="55" ht="15.75">
      <c r="O55" s="75"/>
    </row>
    <row r="56" ht="15.75">
      <c r="O56" s="75"/>
    </row>
    <row r="57" ht="15.75">
      <c r="O57" s="75"/>
    </row>
    <row r="58" ht="15.75">
      <c r="O58" s="75"/>
    </row>
    <row r="59" ht="15.75">
      <c r="O59" s="75"/>
    </row>
    <row r="60" ht="15.75">
      <c r="O60" s="75"/>
    </row>
    <row r="61" ht="15.75">
      <c r="O61" s="75"/>
    </row>
    <row r="62" ht="15.75">
      <c r="O62" s="75"/>
    </row>
    <row r="63" ht="15.75">
      <c r="O63" s="75"/>
    </row>
    <row r="64" ht="15.75">
      <c r="O64" s="75"/>
    </row>
    <row r="65" ht="15.75">
      <c r="O65" s="75"/>
    </row>
    <row r="66" ht="15.75">
      <c r="O66" s="75"/>
    </row>
    <row r="67" ht="15.75">
      <c r="O67" s="75"/>
    </row>
    <row r="68" ht="15.75">
      <c r="O68" s="75"/>
    </row>
    <row r="69" ht="15.75">
      <c r="O69" s="75"/>
    </row>
    <row r="70" ht="15.75">
      <c r="O70" s="75"/>
    </row>
    <row r="71" ht="15.75">
      <c r="O71" s="75"/>
    </row>
    <row r="72" ht="15.75">
      <c r="O72" s="75"/>
    </row>
    <row r="73" ht="15.75">
      <c r="O73" s="75"/>
    </row>
    <row r="74" ht="15.75">
      <c r="O74" s="75"/>
    </row>
    <row r="75" ht="15.75">
      <c r="O75" s="75"/>
    </row>
    <row r="76" ht="15.75">
      <c r="O76" s="75"/>
    </row>
    <row r="77" ht="15.75">
      <c r="O77" s="75"/>
    </row>
    <row r="78" ht="15.75">
      <c r="O78" s="75"/>
    </row>
    <row r="79" ht="15.75">
      <c r="O79" s="75"/>
    </row>
    <row r="80" ht="15.75">
      <c r="O80" s="75"/>
    </row>
    <row r="81" ht="15.75">
      <c r="O81" s="75"/>
    </row>
  </sheetData>
  <sheetProtection/>
  <mergeCells count="4">
    <mergeCell ref="B5:O5"/>
    <mergeCell ref="B15:O15"/>
    <mergeCell ref="A2:O2"/>
    <mergeCell ref="I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C18" sqref="C18"/>
    </sheetView>
  </sheetViews>
  <sheetFormatPr defaultColWidth="9.00390625" defaultRowHeight="12.75"/>
  <cols>
    <col min="1" max="1" width="9.00390625" style="584" customWidth="1"/>
    <col min="2" max="2" width="66.375" style="252" bestFit="1" customWidth="1"/>
    <col min="3" max="3" width="15.50390625" style="253" customWidth="1"/>
    <col min="4" max="5" width="15.50390625" style="252" customWidth="1"/>
    <col min="6" max="6" width="9.00390625" style="264" customWidth="1"/>
    <col min="7" max="16384" width="9.375" style="264" customWidth="1"/>
  </cols>
  <sheetData>
    <row r="1" spans="2:5" ht="15.75">
      <c r="B1" s="945" t="s">
        <v>868</v>
      </c>
      <c r="C1" s="863"/>
      <c r="D1" s="863"/>
      <c r="E1" s="863"/>
    </row>
    <row r="2" spans="3:5" ht="15.75">
      <c r="C2" s="382"/>
      <c r="D2" s="381"/>
      <c r="E2" s="385"/>
    </row>
    <row r="3" spans="1:5" ht="15.75">
      <c r="A3" s="946" t="str">
        <f>CONCATENATE(ALAPADATOK!A3)</f>
        <v>Bátaszék Város Önkormányzata</v>
      </c>
      <c r="B3" s="947"/>
      <c r="C3" s="947"/>
      <c r="D3" s="947"/>
      <c r="E3" s="947"/>
    </row>
    <row r="4" spans="1:5" ht="15.75">
      <c r="A4" s="948" t="str">
        <f>CONCATENATE(ALAPADATOK!D7," ÉVI KÖLTSÉGVETÉSI ÉVET KÖVETŐ 3 ÉV TERVEZETT")</f>
        <v>2023. ÉVI KÖLTSÉGVETÉSI ÉVET KÖVETŐ 3 ÉV TERVEZETT</v>
      </c>
      <c r="B4" s="949"/>
      <c r="C4" s="949"/>
      <c r="D4" s="949"/>
      <c r="E4" s="949"/>
    </row>
    <row r="5" spans="1:5" ht="15.75" customHeight="1">
      <c r="A5" s="829" t="s">
        <v>352</v>
      </c>
      <c r="B5" s="829"/>
      <c r="C5" s="829"/>
      <c r="D5" s="829"/>
      <c r="E5" s="829"/>
    </row>
    <row r="6" spans="1:5" ht="15.75" customHeight="1" thickBot="1">
      <c r="A6" s="827" t="s">
        <v>112</v>
      </c>
      <c r="B6" s="827"/>
      <c r="C6" s="529"/>
      <c r="D6" s="98"/>
      <c r="E6" s="218" t="s">
        <v>319</v>
      </c>
    </row>
    <row r="7" spans="1:5" ht="37.5" customHeight="1" thickBot="1">
      <c r="A7" s="585" t="s">
        <v>65</v>
      </c>
      <c r="B7" s="9" t="s">
        <v>15</v>
      </c>
      <c r="C7" s="9" t="str">
        <f>+CONCATENATE(LEFT(KV_ÖSSZEFÜGGÉSEK!A5,4)+1,". évi")</f>
        <v>2024. évi</v>
      </c>
      <c r="D7" s="262" t="str">
        <f>+CONCATENATE(LEFT(KV_ÖSSZEFÜGGÉSEK!A5,4)+2,". évi")</f>
        <v>2025. évi</v>
      </c>
      <c r="E7" s="112" t="str">
        <f>+CONCATENATE(LEFT(KV_ÖSSZEFÜGGÉSEK!A5,4)+3,". évi")</f>
        <v>2026. évi</v>
      </c>
    </row>
    <row r="8" spans="1:5" s="265" customFormat="1" ht="12" customHeight="1" thickBot="1">
      <c r="A8" s="586" t="s">
        <v>294</v>
      </c>
      <c r="B8" s="14" t="s">
        <v>295</v>
      </c>
      <c r="C8" s="14" t="s">
        <v>296</v>
      </c>
      <c r="D8" s="14" t="s">
        <v>298</v>
      </c>
      <c r="E8" s="275" t="s">
        <v>297</v>
      </c>
    </row>
    <row r="9" spans="1:5" s="266" customFormat="1" ht="12" customHeight="1" thickBot="1">
      <c r="A9" s="586" t="s">
        <v>16</v>
      </c>
      <c r="B9" s="205" t="s">
        <v>244</v>
      </c>
      <c r="C9" s="795">
        <v>730000000</v>
      </c>
      <c r="D9" s="795">
        <v>735000000</v>
      </c>
      <c r="E9" s="646">
        <v>740000000</v>
      </c>
    </row>
    <row r="10" spans="1:5" s="266" customFormat="1" ht="12" customHeight="1" thickBot="1">
      <c r="A10" s="586" t="s">
        <v>17</v>
      </c>
      <c r="B10" s="8" t="s">
        <v>248</v>
      </c>
      <c r="C10" s="795">
        <v>20000000</v>
      </c>
      <c r="D10" s="795">
        <v>25000000</v>
      </c>
      <c r="E10" s="646">
        <v>30000000</v>
      </c>
    </row>
    <row r="11" spans="1:5" s="266" customFormat="1" ht="12" customHeight="1" thickBot="1">
      <c r="A11" s="586" t="s">
        <v>18</v>
      </c>
      <c r="B11" s="8" t="s">
        <v>614</v>
      </c>
      <c r="C11" s="644">
        <f>SUM(C12:C18)</f>
        <v>363600000</v>
      </c>
      <c r="D11" s="644">
        <f>SUM(D12:D18)</f>
        <v>368700000</v>
      </c>
      <c r="E11" s="645">
        <f>SUM(E12:E18)</f>
        <v>373800000</v>
      </c>
    </row>
    <row r="12" spans="1:5" s="266" customFormat="1" ht="12" customHeight="1">
      <c r="A12" s="473" t="s">
        <v>19</v>
      </c>
      <c r="B12" s="591" t="str">
        <f>'KV_1.1.sz.mell.'!B33</f>
        <v>Építményadó</v>
      </c>
      <c r="C12" s="796"/>
      <c r="D12" s="796"/>
      <c r="E12" s="640"/>
    </row>
    <row r="13" spans="1:5" s="266" customFormat="1" ht="12" customHeight="1">
      <c r="A13" s="472" t="s">
        <v>20</v>
      </c>
      <c r="B13" s="591" t="str">
        <f>'KV_1.1.sz.mell.'!B34</f>
        <v>Magánszemélyek kommunális adója</v>
      </c>
      <c r="C13" s="797">
        <v>32000000</v>
      </c>
      <c r="D13" s="797">
        <v>32000000</v>
      </c>
      <c r="E13" s="641">
        <v>32000000</v>
      </c>
    </row>
    <row r="14" spans="1:5" s="266" customFormat="1" ht="12" customHeight="1">
      <c r="A14" s="472" t="s">
        <v>21</v>
      </c>
      <c r="B14" s="591" t="str">
        <f>'KV_1.1.sz.mell.'!B35</f>
        <v>Iparűzési adó</v>
      </c>
      <c r="C14" s="797">
        <v>330000000</v>
      </c>
      <c r="D14" s="797">
        <v>335000000</v>
      </c>
      <c r="E14" s="641">
        <v>340000000</v>
      </c>
    </row>
    <row r="15" spans="1:5" s="266" customFormat="1" ht="12" customHeight="1">
      <c r="A15" s="472" t="s">
        <v>22</v>
      </c>
      <c r="B15" s="591" t="str">
        <f>'KV_1.1.sz.mell.'!B36</f>
        <v>Talajterhelési díj </v>
      </c>
      <c r="C15" s="797">
        <v>500000</v>
      </c>
      <c r="D15" s="797">
        <v>500000</v>
      </c>
      <c r="E15" s="641">
        <v>500000</v>
      </c>
    </row>
    <row r="16" spans="1:5" s="266" customFormat="1" ht="12" customHeight="1">
      <c r="A16" s="472" t="s">
        <v>23</v>
      </c>
      <c r="B16" s="591" t="str">
        <f>'KV_1.1.sz.mell.'!B37</f>
        <v>Gépjárműadó</v>
      </c>
      <c r="C16" s="797"/>
      <c r="D16" s="797"/>
      <c r="E16" s="641"/>
    </row>
    <row r="17" spans="1:5" s="266" customFormat="1" ht="12" customHeight="1">
      <c r="A17" s="472" t="s">
        <v>24</v>
      </c>
      <c r="B17" s="591" t="str">
        <f>'KV_1.1.sz.mell.'!B38</f>
        <v>Telekadó</v>
      </c>
      <c r="C17" s="797"/>
      <c r="D17" s="797"/>
      <c r="E17" s="641"/>
    </row>
    <row r="18" spans="1:5" s="266" customFormat="1" ht="12" customHeight="1" thickBot="1">
      <c r="A18" s="587" t="s">
        <v>25</v>
      </c>
      <c r="B18" s="591" t="str">
        <f>'KV_1.1.sz.mell.'!B39</f>
        <v>Egyéb közhatalmi bevétel</v>
      </c>
      <c r="C18" s="798">
        <v>1100000</v>
      </c>
      <c r="D18" s="798">
        <v>1200000</v>
      </c>
      <c r="E18" s="643">
        <v>1300000</v>
      </c>
    </row>
    <row r="19" spans="1:5" s="266" customFormat="1" ht="12" customHeight="1" thickBot="1">
      <c r="A19" s="586" t="s">
        <v>26</v>
      </c>
      <c r="B19" s="8" t="s">
        <v>311</v>
      </c>
      <c r="C19" s="795">
        <v>37000000</v>
      </c>
      <c r="D19" s="795">
        <v>37500000</v>
      </c>
      <c r="E19" s="646">
        <v>38000000</v>
      </c>
    </row>
    <row r="20" spans="1:5" s="266" customFormat="1" ht="12" customHeight="1" thickBot="1">
      <c r="A20" s="586" t="s">
        <v>27</v>
      </c>
      <c r="B20" s="8" t="s">
        <v>9</v>
      </c>
      <c r="C20" s="795">
        <v>2000000</v>
      </c>
      <c r="D20" s="795">
        <v>3000000</v>
      </c>
      <c r="E20" s="646">
        <v>4000000</v>
      </c>
    </row>
    <row r="21" spans="1:5" s="266" customFormat="1" ht="12" customHeight="1" thickBot="1">
      <c r="A21" s="586" t="s">
        <v>28</v>
      </c>
      <c r="B21" s="8" t="s">
        <v>310</v>
      </c>
      <c r="C21" s="795">
        <v>2500000</v>
      </c>
      <c r="D21" s="795">
        <v>2700000</v>
      </c>
      <c r="E21" s="646">
        <v>2900000</v>
      </c>
    </row>
    <row r="22" spans="1:5" s="266" customFormat="1" ht="12" customHeight="1" thickBot="1">
      <c r="A22" s="586" t="s">
        <v>29</v>
      </c>
      <c r="B22" s="205" t="s">
        <v>309</v>
      </c>
      <c r="C22" s="795"/>
      <c r="D22" s="795"/>
      <c r="E22" s="646"/>
    </row>
    <row r="23" spans="1:5" s="266" customFormat="1" ht="12" customHeight="1" thickBot="1">
      <c r="A23" s="586" t="s">
        <v>30</v>
      </c>
      <c r="B23" s="8" t="s">
        <v>564</v>
      </c>
      <c r="C23" s="644">
        <f>+C9+C10+C11+C19+C20+C21+C22</f>
        <v>1155100000</v>
      </c>
      <c r="D23" s="644">
        <f>+D9+D10+D11+D19+D20+D21+D22</f>
        <v>1171900000</v>
      </c>
      <c r="E23" s="650">
        <f>+E9+E10+E11+E19+E20+E21+E22</f>
        <v>1188700000</v>
      </c>
    </row>
    <row r="24" spans="1:5" s="266" customFormat="1" ht="12" customHeight="1" thickBot="1">
      <c r="A24" s="586" t="s">
        <v>31</v>
      </c>
      <c r="B24" s="8" t="s">
        <v>312</v>
      </c>
      <c r="C24" s="799">
        <v>80000000</v>
      </c>
      <c r="D24" s="799">
        <v>85000000</v>
      </c>
      <c r="E24" s="800">
        <v>90000000</v>
      </c>
    </row>
    <row r="25" spans="1:5" s="266" customFormat="1" ht="12" customHeight="1" thickBot="1">
      <c r="A25" s="586" t="s">
        <v>32</v>
      </c>
      <c r="B25" s="8" t="s">
        <v>565</v>
      </c>
      <c r="C25" s="644">
        <f>+C23+C24</f>
        <v>1235100000</v>
      </c>
      <c r="D25" s="644">
        <f>+D23+D24</f>
        <v>1256900000</v>
      </c>
      <c r="E25" s="645">
        <f>+E23+E24</f>
        <v>1278700000</v>
      </c>
    </row>
    <row r="26" spans="1:5" s="266" customFormat="1" ht="12" customHeight="1">
      <c r="A26" s="588"/>
      <c r="B26" s="247"/>
      <c r="C26" s="501"/>
      <c r="D26" s="582"/>
      <c r="E26" s="583"/>
    </row>
    <row r="27" spans="1:5" s="266" customFormat="1" ht="12" customHeight="1">
      <c r="A27" s="829" t="s">
        <v>45</v>
      </c>
      <c r="B27" s="829"/>
      <c r="C27" s="829"/>
      <c r="D27" s="829"/>
      <c r="E27" s="829"/>
    </row>
    <row r="28" spans="1:5" s="266" customFormat="1" ht="12" customHeight="1" thickBot="1">
      <c r="A28" s="827" t="s">
        <v>113</v>
      </c>
      <c r="B28" s="827"/>
      <c r="C28" s="529"/>
      <c r="D28" s="98"/>
      <c r="E28" s="218" t="str">
        <f>E6</f>
        <v>Forintban!</v>
      </c>
    </row>
    <row r="29" spans="1:6" s="266" customFormat="1" ht="24" customHeight="1" thickBot="1">
      <c r="A29" s="585" t="s">
        <v>14</v>
      </c>
      <c r="B29" s="9" t="s">
        <v>46</v>
      </c>
      <c r="C29" s="9" t="str">
        <f>+C7</f>
        <v>2024. évi</v>
      </c>
      <c r="D29" s="9" t="str">
        <f>+D7</f>
        <v>2025. évi</v>
      </c>
      <c r="E29" s="112" t="str">
        <f>+E7</f>
        <v>2026. évi</v>
      </c>
      <c r="F29" s="302"/>
    </row>
    <row r="30" spans="1:6" s="266" customFormat="1" ht="12" customHeight="1" thickBot="1">
      <c r="A30" s="589" t="s">
        <v>294</v>
      </c>
      <c r="B30" s="263" t="s">
        <v>295</v>
      </c>
      <c r="C30" s="263" t="s">
        <v>296</v>
      </c>
      <c r="D30" s="263" t="s">
        <v>298</v>
      </c>
      <c r="E30" s="301" t="s">
        <v>297</v>
      </c>
      <c r="F30" s="302"/>
    </row>
    <row r="31" spans="1:6" s="266" customFormat="1" ht="15" customHeight="1" thickBot="1">
      <c r="A31" s="586" t="s">
        <v>16</v>
      </c>
      <c r="B31" s="8" t="s">
        <v>568</v>
      </c>
      <c r="C31" s="795">
        <v>1170000000</v>
      </c>
      <c r="D31" s="795">
        <v>1184900000</v>
      </c>
      <c r="E31" s="803">
        <v>1213500000</v>
      </c>
      <c r="F31" s="302"/>
    </row>
    <row r="32" spans="1:5" ht="12" customHeight="1" thickBot="1">
      <c r="A32" s="590" t="s">
        <v>17</v>
      </c>
      <c r="B32" s="592" t="s">
        <v>567</v>
      </c>
      <c r="C32" s="802">
        <f>+C33+C34+C35</f>
        <v>65100000</v>
      </c>
      <c r="D32" s="802">
        <f>+D33+D34+D35</f>
        <v>72000000</v>
      </c>
      <c r="E32" s="801">
        <f>+E33+E34+E35</f>
        <v>65200000</v>
      </c>
    </row>
    <row r="33" spans="1:5" ht="12" customHeight="1">
      <c r="A33" s="473" t="s">
        <v>18</v>
      </c>
      <c r="B33" s="6" t="s">
        <v>165</v>
      </c>
      <c r="C33" s="796">
        <v>32100000</v>
      </c>
      <c r="D33" s="796">
        <v>33500000</v>
      </c>
      <c r="E33" s="640">
        <v>33200000</v>
      </c>
    </row>
    <row r="34" spans="1:5" ht="12" customHeight="1">
      <c r="A34" s="473" t="s">
        <v>19</v>
      </c>
      <c r="B34" s="7" t="s">
        <v>134</v>
      </c>
      <c r="C34" s="797">
        <v>30000000</v>
      </c>
      <c r="D34" s="797">
        <v>35000000</v>
      </c>
      <c r="E34" s="641">
        <v>30000000</v>
      </c>
    </row>
    <row r="35" spans="1:5" ht="12" customHeight="1" thickBot="1">
      <c r="A35" s="473" t="s">
        <v>20</v>
      </c>
      <c r="B35" s="206" t="s">
        <v>166</v>
      </c>
      <c r="C35" s="797">
        <v>3000000</v>
      </c>
      <c r="D35" s="797">
        <v>3500000</v>
      </c>
      <c r="E35" s="641">
        <v>2000000</v>
      </c>
    </row>
    <row r="36" spans="1:5" ht="12" customHeight="1" thickBot="1">
      <c r="A36" s="586" t="s">
        <v>21</v>
      </c>
      <c r="B36" s="84" t="s">
        <v>276</v>
      </c>
      <c r="C36" s="638">
        <f>+C31+C32</f>
        <v>1235100000</v>
      </c>
      <c r="D36" s="638">
        <f>+D31+D32</f>
        <v>1256900000</v>
      </c>
      <c r="E36" s="639">
        <f>+E31+E32</f>
        <v>1278700000</v>
      </c>
    </row>
    <row r="37" spans="1:6" ht="15" customHeight="1" thickBot="1">
      <c r="A37" s="586" t="s">
        <v>22</v>
      </c>
      <c r="B37" s="84" t="s">
        <v>313</v>
      </c>
      <c r="C37" s="303"/>
      <c r="D37" s="303"/>
      <c r="E37" s="304"/>
      <c r="F37" s="269"/>
    </row>
    <row r="38" spans="1:5" s="266" customFormat="1" ht="12.75" customHeight="1" thickBot="1">
      <c r="A38" s="586" t="s">
        <v>23</v>
      </c>
      <c r="B38" s="251" t="s">
        <v>566</v>
      </c>
      <c r="C38" s="648">
        <f>+C36+C37</f>
        <v>1235100000</v>
      </c>
      <c r="D38" s="648">
        <f>+D36+D37</f>
        <v>1256900000</v>
      </c>
      <c r="E38" s="649">
        <f>+E36+E37</f>
        <v>1278700000</v>
      </c>
    </row>
    <row r="39" spans="3:5" ht="15.75">
      <c r="C39" s="593">
        <f>C25-C38</f>
        <v>0</v>
      </c>
      <c r="D39" s="593">
        <f>D25-D38</f>
        <v>0</v>
      </c>
      <c r="E39" s="593">
        <f>E25-E38</f>
        <v>0</v>
      </c>
    </row>
    <row r="40" ht="15.75">
      <c r="C40" s="252"/>
    </row>
    <row r="41" ht="15.75">
      <c r="C41" s="252"/>
    </row>
    <row r="42" ht="16.5" customHeight="1">
      <c r="C42" s="252"/>
    </row>
    <row r="43" ht="15.75">
      <c r="C43" s="252"/>
    </row>
    <row r="44" ht="15.75">
      <c r="C44" s="252"/>
    </row>
    <row r="45" spans="1:7" s="252" customFormat="1" ht="15.75">
      <c r="A45" s="584"/>
      <c r="F45" s="264"/>
      <c r="G45" s="264"/>
    </row>
    <row r="46" spans="1:7" s="252" customFormat="1" ht="15.75">
      <c r="A46" s="584"/>
      <c r="F46" s="264"/>
      <c r="G46" s="264"/>
    </row>
    <row r="47" spans="1:7" s="252" customFormat="1" ht="15.75">
      <c r="A47" s="584"/>
      <c r="F47" s="264"/>
      <c r="G47" s="264"/>
    </row>
    <row r="48" spans="1:7" s="252" customFormat="1" ht="15.75">
      <c r="A48" s="584"/>
      <c r="F48" s="264"/>
      <c r="G48" s="264"/>
    </row>
    <row r="49" spans="1:7" s="252" customFormat="1" ht="15.75">
      <c r="A49" s="584"/>
      <c r="F49" s="264"/>
      <c r="G49" s="264"/>
    </row>
    <row r="50" spans="1:7" s="252" customFormat="1" ht="15.75">
      <c r="A50" s="584"/>
      <c r="F50" s="264"/>
      <c r="G50" s="264"/>
    </row>
    <row r="51" spans="1:7" s="252" customFormat="1" ht="15.75">
      <c r="A51" s="584"/>
      <c r="F51" s="264"/>
      <c r="G51" s="264"/>
    </row>
  </sheetData>
  <sheetProtection/>
  <mergeCells count="7">
    <mergeCell ref="B1:E1"/>
    <mergeCell ref="A5:E5"/>
    <mergeCell ref="A6:B6"/>
    <mergeCell ref="A27:E27"/>
    <mergeCell ref="A28:B28"/>
    <mergeCell ref="A3:E3"/>
    <mergeCell ref="A4:E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0"/>
  <sheetViews>
    <sheetView zoomScale="120" zoomScaleNormal="120" zoomScalePageLayoutView="0" workbookViewId="0" topLeftCell="A1">
      <selection activeCell="S40" sqref="S40"/>
    </sheetView>
  </sheetViews>
  <sheetFormatPr defaultColWidth="79.00390625" defaultRowHeight="12.75"/>
  <cols>
    <col min="1" max="1" width="4.375" style="0" bestFit="1" customWidth="1"/>
    <col min="2" max="2" width="73.50390625" style="0" customWidth="1"/>
    <col min="3" max="3" width="15.00390625" style="762" customWidth="1"/>
    <col min="4" max="235" width="8.875" style="0" customWidth="1"/>
    <col min="236" max="236" width="4.375" style="0" bestFit="1" customWidth="1"/>
  </cols>
  <sheetData>
    <row r="1" spans="2:3" ht="15">
      <c r="B1" s="951" t="s">
        <v>869</v>
      </c>
      <c r="C1" s="951"/>
    </row>
    <row r="2" spans="2:3" ht="15">
      <c r="B2" s="814"/>
      <c r="C2" s="814"/>
    </row>
    <row r="3" spans="1:3" s="718" customFormat="1" ht="11.25">
      <c r="A3" s="950" t="s">
        <v>808</v>
      </c>
      <c r="B3" s="950"/>
      <c r="C3" s="815" t="s">
        <v>319</v>
      </c>
    </row>
    <row r="4" spans="1:3" s="718" customFormat="1" ht="21">
      <c r="A4" s="816" t="s">
        <v>809</v>
      </c>
      <c r="B4" s="816" t="s">
        <v>57</v>
      </c>
      <c r="C4" s="794" t="s">
        <v>877</v>
      </c>
    </row>
    <row r="5" spans="1:3" s="718" customFormat="1" ht="11.25">
      <c r="A5" s="719" t="s">
        <v>16</v>
      </c>
      <c r="B5" s="720" t="s">
        <v>810</v>
      </c>
      <c r="C5" s="789">
        <v>5300000</v>
      </c>
    </row>
    <row r="6" spans="1:3" s="718" customFormat="1" ht="11.25">
      <c r="A6" s="719" t="s">
        <v>17</v>
      </c>
      <c r="B6" s="720" t="s">
        <v>811</v>
      </c>
      <c r="C6" s="790">
        <v>3300000</v>
      </c>
    </row>
    <row r="7" spans="1:3" s="718" customFormat="1" ht="11.25">
      <c r="A7" s="719" t="s">
        <v>18</v>
      </c>
      <c r="B7" s="720" t="s">
        <v>812</v>
      </c>
      <c r="C7" s="789">
        <v>3000000</v>
      </c>
    </row>
    <row r="8" spans="1:3" s="718" customFormat="1" ht="11.25">
      <c r="A8" s="719" t="s">
        <v>19</v>
      </c>
      <c r="B8" s="720" t="s">
        <v>813</v>
      </c>
      <c r="C8" s="790">
        <v>1000000</v>
      </c>
    </row>
    <row r="9" spans="1:3" s="718" customFormat="1" ht="11.25">
      <c r="A9" s="719" t="s">
        <v>20</v>
      </c>
      <c r="B9" s="720" t="s">
        <v>814</v>
      </c>
      <c r="C9" s="790">
        <v>100000</v>
      </c>
    </row>
    <row r="10" spans="1:3" s="718" customFormat="1" ht="11.25">
      <c r="A10" s="719" t="s">
        <v>21</v>
      </c>
      <c r="B10" s="720" t="s">
        <v>815</v>
      </c>
      <c r="C10" s="790">
        <v>0</v>
      </c>
    </row>
    <row r="11" spans="1:3" s="718" customFormat="1" ht="11.25">
      <c r="A11" s="719" t="s">
        <v>22</v>
      </c>
      <c r="B11" s="720" t="s">
        <v>816</v>
      </c>
      <c r="C11" s="789">
        <v>250000</v>
      </c>
    </row>
    <row r="12" spans="1:3" s="718" customFormat="1" ht="11.25">
      <c r="A12" s="719" t="s">
        <v>23</v>
      </c>
      <c r="B12" s="720" t="s">
        <v>818</v>
      </c>
      <c r="C12" s="790">
        <v>0</v>
      </c>
    </row>
    <row r="13" spans="1:3" s="718" customFormat="1" ht="11.25">
      <c r="A13" s="719" t="s">
        <v>24</v>
      </c>
      <c r="B13" s="721" t="s">
        <v>819</v>
      </c>
      <c r="C13" s="791">
        <f>SUM(C5:C12)</f>
        <v>12950000</v>
      </c>
    </row>
    <row r="14" spans="1:3" s="718" customFormat="1" ht="11.25">
      <c r="A14" s="719" t="s">
        <v>25</v>
      </c>
      <c r="B14" s="720" t="s">
        <v>820</v>
      </c>
      <c r="C14" s="789">
        <v>1000000</v>
      </c>
    </row>
    <row r="15" spans="1:3" s="718" customFormat="1" ht="11.25">
      <c r="A15" s="719" t="s">
        <v>26</v>
      </c>
      <c r="B15" s="720" t="s">
        <v>821</v>
      </c>
      <c r="C15" s="790">
        <v>300000</v>
      </c>
    </row>
    <row r="16" spans="1:3" s="718" customFormat="1" ht="11.25">
      <c r="A16" s="719" t="s">
        <v>27</v>
      </c>
      <c r="B16" s="720" t="s">
        <v>822</v>
      </c>
      <c r="C16" s="790">
        <v>200000</v>
      </c>
    </row>
    <row r="17" spans="1:3" s="718" customFormat="1" ht="11.25">
      <c r="A17" s="719" t="s">
        <v>28</v>
      </c>
      <c r="B17" s="720" t="s">
        <v>823</v>
      </c>
      <c r="C17" s="790">
        <v>0</v>
      </c>
    </row>
    <row r="18" spans="1:3" s="718" customFormat="1" ht="11.25">
      <c r="A18" s="719" t="s">
        <v>29</v>
      </c>
      <c r="B18" s="720" t="s">
        <v>824</v>
      </c>
      <c r="C18" s="789">
        <v>100000</v>
      </c>
    </row>
    <row r="19" spans="1:3" s="718" customFormat="1" ht="11.25">
      <c r="A19" s="719" t="s">
        <v>30</v>
      </c>
      <c r="B19" s="720" t="s">
        <v>839</v>
      </c>
      <c r="C19" s="790">
        <v>1700000</v>
      </c>
    </row>
    <row r="20" spans="1:3" s="718" customFormat="1" ht="12" customHeight="1">
      <c r="A20" s="719" t="s">
        <v>31</v>
      </c>
      <c r="B20" s="720" t="s">
        <v>852</v>
      </c>
      <c r="C20" s="790">
        <v>1710000</v>
      </c>
    </row>
    <row r="21" spans="1:3" s="718" customFormat="1" ht="11.25">
      <c r="A21" s="719" t="s">
        <v>32</v>
      </c>
      <c r="B21" s="721" t="s">
        <v>825</v>
      </c>
      <c r="C21" s="792">
        <f>SUM(C14:C20)</f>
        <v>5010000</v>
      </c>
    </row>
    <row r="22" spans="1:3" s="718" customFormat="1" ht="11.25">
      <c r="A22" s="719" t="s">
        <v>33</v>
      </c>
      <c r="B22" s="722" t="s">
        <v>826</v>
      </c>
      <c r="C22" s="793">
        <f>C13+C21</f>
        <v>17960000</v>
      </c>
    </row>
    <row r="23" spans="1:3" s="718" customFormat="1" ht="11.25">
      <c r="A23" s="719" t="s">
        <v>34</v>
      </c>
      <c r="B23" s="723" t="s">
        <v>827</v>
      </c>
      <c r="C23" s="789">
        <v>4500000</v>
      </c>
    </row>
    <row r="24" spans="1:3" s="718" customFormat="1" ht="11.25">
      <c r="A24" s="719" t="s">
        <v>35</v>
      </c>
      <c r="B24" s="720" t="s">
        <v>828</v>
      </c>
      <c r="C24" s="789">
        <v>2000000</v>
      </c>
    </row>
    <row r="25" spans="1:3" s="718" customFormat="1" ht="11.25">
      <c r="A25" s="719" t="s">
        <v>36</v>
      </c>
      <c r="B25" s="720" t="s">
        <v>829</v>
      </c>
      <c r="C25" s="790">
        <v>3000000</v>
      </c>
    </row>
    <row r="26" spans="1:3" s="718" customFormat="1" ht="11.25">
      <c r="A26" s="719" t="s">
        <v>37</v>
      </c>
      <c r="B26" s="720" t="s">
        <v>830</v>
      </c>
      <c r="C26" s="790">
        <v>650000</v>
      </c>
    </row>
    <row r="27" spans="1:3" s="718" customFormat="1" ht="11.25">
      <c r="A27" s="719" t="s">
        <v>38</v>
      </c>
      <c r="B27" s="720" t="s">
        <v>831</v>
      </c>
      <c r="C27" s="789">
        <v>1000000</v>
      </c>
    </row>
    <row r="28" spans="1:3" s="760" customFormat="1" ht="11.25">
      <c r="A28" s="719" t="s">
        <v>39</v>
      </c>
      <c r="B28" s="759" t="s">
        <v>817</v>
      </c>
      <c r="C28" s="789">
        <v>300000</v>
      </c>
    </row>
    <row r="29" spans="1:3" s="718" customFormat="1" ht="11.25">
      <c r="A29" s="719" t="s">
        <v>40</v>
      </c>
      <c r="B29" s="722" t="s">
        <v>832</v>
      </c>
      <c r="C29" s="793">
        <f>SUM(C23:C28)</f>
        <v>11450000</v>
      </c>
    </row>
    <row r="30" spans="1:3" s="724" customFormat="1" ht="11.25">
      <c r="A30" s="719" t="s">
        <v>41</v>
      </c>
      <c r="B30" s="813" t="s">
        <v>781</v>
      </c>
      <c r="C30" s="761">
        <f>SUM(C22+C29)</f>
        <v>29410000</v>
      </c>
    </row>
  </sheetData>
  <sheetProtection/>
  <mergeCells count="2">
    <mergeCell ref="A3:B3"/>
    <mergeCell ref="B1:C1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52.875" style="0" customWidth="1"/>
    <col min="4" max="4" width="13.125" style="695" customWidth="1"/>
    <col min="228" max="228" width="12.50390625" style="0" customWidth="1"/>
    <col min="229" max="229" width="12.875" style="0" bestFit="1" customWidth="1"/>
    <col min="230" max="230" width="60.00390625" style="0" bestFit="1" customWidth="1"/>
    <col min="231" max="231" width="18.875" style="0" bestFit="1" customWidth="1"/>
    <col min="232" max="232" width="7.125" style="0" customWidth="1"/>
    <col min="233" max="233" width="16.00390625" style="0" bestFit="1" customWidth="1"/>
  </cols>
  <sheetData>
    <row r="1" spans="3:4" ht="15" customHeight="1">
      <c r="C1" s="952" t="s">
        <v>870</v>
      </c>
      <c r="D1" s="863"/>
    </row>
    <row r="2" spans="1:4" ht="13.5" thickBot="1">
      <c r="A2" s="718"/>
      <c r="B2" s="718"/>
      <c r="C2" s="718"/>
      <c r="D2" s="725" t="s">
        <v>769</v>
      </c>
    </row>
    <row r="3" spans="1:4" ht="21">
      <c r="A3" s="726" t="s">
        <v>770</v>
      </c>
      <c r="B3" s="727" t="s">
        <v>771</v>
      </c>
      <c r="C3" s="727" t="s">
        <v>772</v>
      </c>
      <c r="D3" s="728" t="s">
        <v>878</v>
      </c>
    </row>
    <row r="4" spans="1:4" s="694" customFormat="1" ht="12.75">
      <c r="A4" s="729"/>
      <c r="B4" s="730" t="s">
        <v>773</v>
      </c>
      <c r="C4" s="731" t="s">
        <v>879</v>
      </c>
      <c r="D4" s="732">
        <v>1000000</v>
      </c>
    </row>
    <row r="5" spans="1:4" s="694" customFormat="1" ht="12.75">
      <c r="A5" s="729"/>
      <c r="B5" s="730" t="s">
        <v>773</v>
      </c>
      <c r="C5" s="731" t="s">
        <v>774</v>
      </c>
      <c r="D5" s="733">
        <v>2497964</v>
      </c>
    </row>
    <row r="6" spans="1:4" s="694" customFormat="1" ht="12.75">
      <c r="A6" s="729"/>
      <c r="B6" s="730" t="s">
        <v>773</v>
      </c>
      <c r="C6" s="731" t="s">
        <v>775</v>
      </c>
      <c r="D6" s="732">
        <v>1916552</v>
      </c>
    </row>
    <row r="7" spans="1:4" s="694" customFormat="1" ht="12.75">
      <c r="A7" s="729"/>
      <c r="B7" s="730" t="s">
        <v>773</v>
      </c>
      <c r="C7" s="734" t="s">
        <v>776</v>
      </c>
      <c r="D7" s="735">
        <v>9625000</v>
      </c>
    </row>
    <row r="8" spans="1:4" ht="12.75">
      <c r="A8" s="736"/>
      <c r="B8" s="737" t="s">
        <v>773</v>
      </c>
      <c r="C8" s="738" t="s">
        <v>777</v>
      </c>
      <c r="D8" s="739">
        <f>SUM(D4:D7)</f>
        <v>15039516</v>
      </c>
    </row>
    <row r="9" spans="1:4" s="694" customFormat="1" ht="12.75">
      <c r="A9" s="729"/>
      <c r="B9" s="730" t="s">
        <v>778</v>
      </c>
      <c r="C9" s="730" t="s">
        <v>779</v>
      </c>
      <c r="D9" s="740">
        <v>4685957</v>
      </c>
    </row>
    <row r="10" spans="1:4" s="694" customFormat="1" ht="12.75">
      <c r="A10" s="729"/>
      <c r="B10" s="730" t="s">
        <v>778</v>
      </c>
      <c r="C10" s="731" t="s">
        <v>834</v>
      </c>
      <c r="D10" s="733">
        <v>3000000</v>
      </c>
    </row>
    <row r="11" spans="1:4" s="694" customFormat="1" ht="22.5">
      <c r="A11" s="729"/>
      <c r="B11" s="730" t="s">
        <v>778</v>
      </c>
      <c r="C11" s="741" t="s">
        <v>841</v>
      </c>
      <c r="D11" s="735">
        <v>500000</v>
      </c>
    </row>
    <row r="12" spans="1:4" s="694" customFormat="1" ht="12.75">
      <c r="A12" s="729"/>
      <c r="B12" s="730" t="s">
        <v>778</v>
      </c>
      <c r="C12" s="741" t="s">
        <v>835</v>
      </c>
      <c r="D12" s="735">
        <v>2000000</v>
      </c>
    </row>
    <row r="13" spans="1:4" s="694" customFormat="1" ht="15" customHeight="1">
      <c r="A13" s="729"/>
      <c r="B13" s="730" t="s">
        <v>778</v>
      </c>
      <c r="C13" s="741" t="s">
        <v>833</v>
      </c>
      <c r="D13" s="735">
        <v>2000000</v>
      </c>
    </row>
    <row r="14" spans="1:4" ht="12.75">
      <c r="A14" s="742"/>
      <c r="B14" s="743" t="s">
        <v>778</v>
      </c>
      <c r="C14" s="743" t="s">
        <v>780</v>
      </c>
      <c r="D14" s="744">
        <f>SUM(D9:D13)</f>
        <v>12185957</v>
      </c>
    </row>
    <row r="15" spans="1:4" ht="13.5" thickBot="1">
      <c r="A15" s="745"/>
      <c r="B15" s="746"/>
      <c r="C15" s="746" t="s">
        <v>781</v>
      </c>
      <c r="D15" s="747">
        <f>D8+D14</f>
        <v>27225473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16"/>
  <sheetViews>
    <sheetView zoomScale="120" zoomScaleNormal="120" workbookViewId="0" topLeftCell="A1">
      <selection activeCell="B36" sqref="B3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372" t="s">
        <v>111</v>
      </c>
    </row>
    <row r="4" spans="1:2" ht="12.75">
      <c r="A4" s="94"/>
      <c r="B4" s="94"/>
    </row>
    <row r="5" spans="1:2" s="101" customFormat="1" ht="15.75">
      <c r="A5" s="56" t="str">
        <f>CONCATENATE(ALAPADATOK!D7," évi előirányzat BEVÉTELEK")</f>
        <v>2023. évi előirányzat BEVÉTELEK</v>
      </c>
      <c r="B5" s="100"/>
    </row>
    <row r="6" spans="1:2" ht="12.75">
      <c r="A6" s="94"/>
      <c r="B6" s="94"/>
    </row>
    <row r="7" spans="1:3" ht="12.75">
      <c r="A7" s="94" t="s">
        <v>602</v>
      </c>
      <c r="B7" s="94" t="s">
        <v>608</v>
      </c>
      <c r="C7" s="629"/>
    </row>
    <row r="8" spans="1:2" ht="12.75">
      <c r="A8" s="94" t="s">
        <v>603</v>
      </c>
      <c r="B8" s="94" t="s">
        <v>609</v>
      </c>
    </row>
    <row r="9" spans="1:2" ht="12.75">
      <c r="A9" s="94" t="s">
        <v>604</v>
      </c>
      <c r="B9" s="94" t="s">
        <v>610</v>
      </c>
    </row>
    <row r="10" spans="1:2" ht="12.75">
      <c r="A10" s="94"/>
      <c r="B10" s="94"/>
    </row>
    <row r="11" spans="1:2" ht="12.75">
      <c r="A11" s="94"/>
      <c r="B11" s="94"/>
    </row>
    <row r="12" spans="1:2" s="101" customFormat="1" ht="15.75">
      <c r="A12" s="56" t="str">
        <f>+CONCATENATE(LEFT(A5,4),". évi előirányzat KIADÁSOK")</f>
        <v>2023. évi előirányzat KIADÁSOK</v>
      </c>
      <c r="B12" s="100"/>
    </row>
    <row r="13" spans="1:2" ht="12.75">
      <c r="A13" s="94"/>
      <c r="B13" s="94"/>
    </row>
    <row r="14" spans="1:2" ht="12.75">
      <c r="A14" s="94" t="s">
        <v>605</v>
      </c>
      <c r="B14" s="94" t="s">
        <v>611</v>
      </c>
    </row>
    <row r="15" spans="1:2" ht="12.75">
      <c r="A15" s="94" t="s">
        <v>607</v>
      </c>
      <c r="B15" s="94" t="s">
        <v>612</v>
      </c>
    </row>
    <row r="16" spans="1:2" ht="12.75">
      <c r="A16" s="94" t="s">
        <v>606</v>
      </c>
      <c r="B16" s="94" t="s">
        <v>613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G22" sqref="G22"/>
    </sheetView>
  </sheetViews>
  <sheetFormatPr defaultColWidth="9.00390625" defaultRowHeight="12.75"/>
  <cols>
    <col min="1" max="1" width="7.625" style="0" customWidth="1"/>
    <col min="2" max="2" width="67.875" style="0" customWidth="1"/>
    <col min="3" max="3" width="22.50390625" style="0" customWidth="1"/>
  </cols>
  <sheetData>
    <row r="1" spans="1:3" ht="19.5" customHeight="1">
      <c r="A1" s="696"/>
      <c r="B1" s="953" t="s">
        <v>871</v>
      </c>
      <c r="C1" s="953"/>
    </row>
    <row r="2" spans="1:3" ht="19.5" customHeight="1" thickBot="1">
      <c r="A2" s="696"/>
      <c r="B2" s="697"/>
      <c r="C2" s="697" t="s">
        <v>319</v>
      </c>
    </row>
    <row r="3" spans="1:3" ht="30.75" customHeight="1">
      <c r="A3" s="698"/>
      <c r="B3" s="699" t="s">
        <v>783</v>
      </c>
      <c r="C3" s="700" t="s">
        <v>880</v>
      </c>
    </row>
    <row r="4" spans="1:3" ht="19.5" customHeight="1">
      <c r="A4" s="701">
        <v>1</v>
      </c>
      <c r="B4" s="702">
        <v>2</v>
      </c>
      <c r="C4" s="703">
        <v>3</v>
      </c>
    </row>
    <row r="5" spans="1:3" ht="19.5" customHeight="1">
      <c r="A5" s="753" t="s">
        <v>542</v>
      </c>
      <c r="B5" s="704" t="s">
        <v>784</v>
      </c>
      <c r="C5" s="750">
        <f>C6+C8+C11+C13+C15+C17</f>
        <v>122319900</v>
      </c>
    </row>
    <row r="6" spans="1:3" ht="19.5" customHeight="1">
      <c r="A6" s="753" t="s">
        <v>441</v>
      </c>
      <c r="B6" s="754" t="s">
        <v>785</v>
      </c>
      <c r="C6" s="755">
        <f>C7</f>
        <v>19000000</v>
      </c>
    </row>
    <row r="7" spans="1:3" ht="19.5" customHeight="1">
      <c r="A7" s="753" t="s">
        <v>442</v>
      </c>
      <c r="B7" s="705" t="s">
        <v>786</v>
      </c>
      <c r="C7" s="708">
        <v>19000000</v>
      </c>
    </row>
    <row r="8" spans="1:3" ht="19.5" customHeight="1">
      <c r="A8" s="753" t="s">
        <v>443</v>
      </c>
      <c r="B8" s="754" t="s">
        <v>787</v>
      </c>
      <c r="C8" s="755">
        <f>SUM(C9:C10)</f>
        <v>0</v>
      </c>
    </row>
    <row r="9" spans="1:3" ht="19.5" customHeight="1">
      <c r="A9" s="753" t="s">
        <v>444</v>
      </c>
      <c r="B9" s="706"/>
      <c r="C9" s="751"/>
    </row>
    <row r="10" spans="1:3" ht="19.5" customHeight="1">
      <c r="A10" s="753" t="s">
        <v>445</v>
      </c>
      <c r="B10" s="748"/>
      <c r="C10" s="751"/>
    </row>
    <row r="11" spans="1:3" ht="19.5" customHeight="1">
      <c r="A11" s="753" t="s">
        <v>446</v>
      </c>
      <c r="B11" s="754" t="s">
        <v>789</v>
      </c>
      <c r="C11" s="755">
        <f>C12</f>
        <v>1293000</v>
      </c>
    </row>
    <row r="12" spans="1:3" ht="19.5" customHeight="1">
      <c r="A12" s="753" t="s">
        <v>462</v>
      </c>
      <c r="B12" s="707" t="s">
        <v>790</v>
      </c>
      <c r="C12" s="708">
        <v>1293000</v>
      </c>
    </row>
    <row r="13" spans="1:3" ht="19.5" customHeight="1">
      <c r="A13" s="753" t="s">
        <v>440</v>
      </c>
      <c r="B13" s="754" t="s">
        <v>791</v>
      </c>
      <c r="C13" s="755">
        <f>C14</f>
        <v>80075000</v>
      </c>
    </row>
    <row r="14" spans="1:3" ht="19.5" customHeight="1">
      <c r="A14" s="753" t="s">
        <v>353</v>
      </c>
      <c r="B14" s="705" t="s">
        <v>792</v>
      </c>
      <c r="C14" s="751">
        <v>80075000</v>
      </c>
    </row>
    <row r="15" spans="1:3" ht="19.5" customHeight="1">
      <c r="A15" s="753" t="s">
        <v>354</v>
      </c>
      <c r="B15" s="756" t="s">
        <v>793</v>
      </c>
      <c r="C15" s="757">
        <f>SUM(C16)</f>
        <v>0</v>
      </c>
    </row>
    <row r="16" spans="1:3" ht="19.5" customHeight="1">
      <c r="A16" s="753" t="s">
        <v>355</v>
      </c>
      <c r="B16" s="705"/>
      <c r="C16" s="751"/>
    </row>
    <row r="17" spans="1:3" ht="19.5" customHeight="1">
      <c r="A17" s="753" t="s">
        <v>447</v>
      </c>
      <c r="B17" s="756" t="s">
        <v>794</v>
      </c>
      <c r="C17" s="757">
        <f>SUM(C18:C22)</f>
        <v>21951900</v>
      </c>
    </row>
    <row r="18" spans="1:4" ht="19.5" customHeight="1">
      <c r="A18" s="753" t="s">
        <v>448</v>
      </c>
      <c r="B18" s="707" t="s">
        <v>795</v>
      </c>
      <c r="C18" s="752">
        <v>6521686</v>
      </c>
      <c r="D18" t="s">
        <v>796</v>
      </c>
    </row>
    <row r="19" spans="1:4" ht="19.5" customHeight="1">
      <c r="A19" s="753" t="s">
        <v>463</v>
      </c>
      <c r="B19" s="707" t="s">
        <v>797</v>
      </c>
      <c r="C19" s="752">
        <v>6930214</v>
      </c>
      <c r="D19" t="s">
        <v>796</v>
      </c>
    </row>
    <row r="20" spans="1:4" ht="19.5" customHeight="1">
      <c r="A20" s="753" t="s">
        <v>449</v>
      </c>
      <c r="B20" s="707" t="s">
        <v>798</v>
      </c>
      <c r="C20" s="752">
        <v>3000000</v>
      </c>
      <c r="D20" t="s">
        <v>796</v>
      </c>
    </row>
    <row r="21" spans="1:4" ht="19.5" customHeight="1">
      <c r="A21" s="753" t="s">
        <v>450</v>
      </c>
      <c r="B21" s="707" t="s">
        <v>799</v>
      </c>
      <c r="C21" s="752">
        <v>3000000</v>
      </c>
      <c r="D21" t="s">
        <v>796</v>
      </c>
    </row>
    <row r="22" spans="1:4" ht="19.5" customHeight="1">
      <c r="A22" s="753" t="s">
        <v>451</v>
      </c>
      <c r="B22" s="707" t="s">
        <v>800</v>
      </c>
      <c r="C22" s="752">
        <v>2500000</v>
      </c>
      <c r="D22" t="s">
        <v>796</v>
      </c>
    </row>
    <row r="23" spans="1:3" ht="19.5" customHeight="1">
      <c r="A23" s="753" t="s">
        <v>452</v>
      </c>
      <c r="B23" s="709" t="s">
        <v>801</v>
      </c>
      <c r="C23" s="710">
        <f>C24</f>
        <v>54557620</v>
      </c>
    </row>
    <row r="24" spans="1:3" ht="19.5" customHeight="1">
      <c r="A24" s="753" t="s">
        <v>453</v>
      </c>
      <c r="B24" s="754" t="s">
        <v>787</v>
      </c>
      <c r="C24" s="755">
        <f>SUM(C25:C26)</f>
        <v>54557620</v>
      </c>
    </row>
    <row r="25" spans="1:3" ht="19.5" customHeight="1">
      <c r="A25" s="753" t="s">
        <v>454</v>
      </c>
      <c r="B25" s="706" t="s">
        <v>788</v>
      </c>
      <c r="C25" s="708">
        <v>54557620</v>
      </c>
    </row>
    <row r="26" spans="1:3" ht="19.5" customHeight="1">
      <c r="A26" s="753" t="s">
        <v>464</v>
      </c>
      <c r="B26" s="748"/>
      <c r="C26" s="708"/>
    </row>
    <row r="27" spans="1:3" ht="19.5" customHeight="1">
      <c r="A27" s="753" t="s">
        <v>455</v>
      </c>
      <c r="B27" s="711" t="s">
        <v>802</v>
      </c>
      <c r="C27" s="750">
        <f>SUM(C28:C28)</f>
        <v>0</v>
      </c>
    </row>
    <row r="28" spans="1:3" ht="19.5" customHeight="1">
      <c r="A28" s="753" t="s">
        <v>456</v>
      </c>
      <c r="B28" s="707"/>
      <c r="C28" s="708"/>
    </row>
    <row r="29" spans="1:3" ht="19.5" customHeight="1">
      <c r="A29" s="753" t="s">
        <v>457</v>
      </c>
      <c r="B29" s="711" t="s">
        <v>803</v>
      </c>
      <c r="C29" s="750">
        <f>SUM(C30:C30)</f>
        <v>0</v>
      </c>
    </row>
    <row r="30" spans="1:3" ht="19.5" customHeight="1" thickBot="1">
      <c r="A30" s="712"/>
      <c r="B30" s="749"/>
      <c r="C30" s="713"/>
    </row>
    <row r="31" spans="1:3" ht="19.5" customHeight="1" thickBot="1">
      <c r="A31" s="714"/>
      <c r="B31" s="715" t="s">
        <v>804</v>
      </c>
      <c r="C31" s="716">
        <f>C5+C23+C27+C29</f>
        <v>176877520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5"/>
  <sheetViews>
    <sheetView zoomScaleSheetLayoutView="100" workbookViewId="0" topLeftCell="A3">
      <selection activeCell="J21" sqref="J21"/>
    </sheetView>
  </sheetViews>
  <sheetFormatPr defaultColWidth="9.00390625" defaultRowHeight="12.75"/>
  <cols>
    <col min="1" max="1" width="6.875" style="521" customWidth="1"/>
    <col min="2" max="2" width="99.375" style="252" customWidth="1"/>
    <col min="3" max="3" width="21.625" style="253" customWidth="1"/>
    <col min="4" max="4" width="9.00390625" style="264" customWidth="1"/>
    <col min="5" max="16384" width="9.375" style="264" customWidth="1"/>
  </cols>
  <sheetData>
    <row r="1" spans="1:3" ht="18.75" customHeight="1">
      <c r="A1" s="516"/>
      <c r="B1" s="823" t="str">
        <f>CONCATENATE("1. melléklet ",ALAPADATOK!A7," ",ALAPADATOK!B7," ",ALAPADATOK!C7," ",ALAPADATOK!D7," ",ALAPADATOK!E7," ",ALAPADATOK!F7," ",ALAPADATOK!G7," ",ALAPADATOK!H7)</f>
        <v>1. melléklet a … / 2023. ( … ) önkormányzati rendelethez</v>
      </c>
      <c r="C1" s="824"/>
    </row>
    <row r="2" spans="1:3" ht="21.75" customHeight="1">
      <c r="A2" s="830" t="str">
        <f>CONCATENATE(ALAPADATOK!A3)</f>
        <v>Bátaszék Város Önkormányzata</v>
      </c>
      <c r="B2" s="831"/>
      <c r="C2" s="831"/>
    </row>
    <row r="3" spans="1:3" ht="21.75" customHeight="1">
      <c r="A3" s="830" t="str">
        <f>CONCATENATE(ALAPADATOK!D7," ÉVI KÖLTSÉGVETÉS")</f>
        <v>2023. ÉVI KÖLTSÉGVETÉS</v>
      </c>
      <c r="B3" s="831"/>
      <c r="C3" s="831"/>
    </row>
    <row r="4" spans="1:3" ht="21.75" customHeight="1">
      <c r="A4" s="830" t="s">
        <v>326</v>
      </c>
      <c r="B4" s="831"/>
      <c r="C4" s="831"/>
    </row>
    <row r="5" spans="1:3" ht="21.75" customHeight="1">
      <c r="A5" s="374"/>
      <c r="B5" s="513"/>
      <c r="C5" s="374"/>
    </row>
    <row r="6" spans="1:3" ht="15" customHeight="1">
      <c r="A6" s="825" t="s">
        <v>13</v>
      </c>
      <c r="B6" s="825"/>
      <c r="C6" s="825"/>
    </row>
    <row r="7" spans="1:3" ht="15" customHeight="1" thickBot="1">
      <c r="A7" s="826"/>
      <c r="B7" s="826"/>
      <c r="C7" s="522" t="s">
        <v>319</v>
      </c>
    </row>
    <row r="8" spans="1:3" ht="24" customHeight="1" thickBot="1">
      <c r="A8" s="632" t="s">
        <v>65</v>
      </c>
      <c r="B8" s="375" t="s">
        <v>15</v>
      </c>
      <c r="C8" s="523" t="str">
        <f>'KV_1.1.sz.mell.'!C8</f>
        <v>2023. évi előirányzat</v>
      </c>
    </row>
    <row r="9" spans="1:3" s="265" customFormat="1" ht="12" customHeight="1" thickBot="1">
      <c r="A9" s="517"/>
      <c r="B9" s="337" t="s">
        <v>294</v>
      </c>
      <c r="C9" s="338" t="str">
        <f>'KV_1.1.sz.mell.'!C9</f>
        <v>B</v>
      </c>
    </row>
    <row r="10" spans="1:3" s="266" customFormat="1" ht="12" customHeight="1" thickBot="1">
      <c r="A10" s="447">
        <v>1</v>
      </c>
      <c r="B10" s="396" t="s">
        <v>591</v>
      </c>
      <c r="C10" s="208">
        <f>C19+C20+C21+C22+C23</f>
        <v>796895146</v>
      </c>
    </row>
    <row r="11" spans="1:3" s="266" customFormat="1" ht="12" customHeight="1">
      <c r="A11" s="444" t="s">
        <v>441</v>
      </c>
      <c r="B11" s="397" t="s">
        <v>184</v>
      </c>
      <c r="C11" s="211">
        <v>212720456</v>
      </c>
    </row>
    <row r="12" spans="1:3" s="266" customFormat="1" ht="12" customHeight="1">
      <c r="A12" s="444" t="s">
        <v>442</v>
      </c>
      <c r="B12" s="398" t="s">
        <v>185</v>
      </c>
      <c r="C12" s="211">
        <v>242155903</v>
      </c>
    </row>
    <row r="13" spans="1:3" s="266" customFormat="1" ht="12" customHeight="1">
      <c r="A13" s="444" t="s">
        <v>443</v>
      </c>
      <c r="B13" s="398" t="s">
        <v>186</v>
      </c>
      <c r="C13" s="211">
        <v>101472773</v>
      </c>
    </row>
    <row r="14" spans="1:3" s="266" customFormat="1" ht="12" customHeight="1">
      <c r="A14" s="444" t="s">
        <v>444</v>
      </c>
      <c r="B14" s="398" t="s">
        <v>543</v>
      </c>
      <c r="C14" s="211">
        <v>100167758</v>
      </c>
    </row>
    <row r="15" spans="1:3" s="266" customFormat="1" ht="12" customHeight="1">
      <c r="A15" s="444" t="s">
        <v>445</v>
      </c>
      <c r="B15" s="398" t="s">
        <v>187</v>
      </c>
      <c r="C15" s="211">
        <v>18058356</v>
      </c>
    </row>
    <row r="16" spans="1:3" s="266" customFormat="1" ht="12" customHeight="1">
      <c r="A16" s="444" t="s">
        <v>446</v>
      </c>
      <c r="B16" s="398" t="s">
        <v>272</v>
      </c>
      <c r="C16" s="211"/>
    </row>
    <row r="17" spans="1:3" s="266" customFormat="1" ht="12" customHeight="1">
      <c r="A17" s="444" t="s">
        <v>462</v>
      </c>
      <c r="B17" s="333" t="s">
        <v>273</v>
      </c>
      <c r="C17" s="211"/>
    </row>
    <row r="18" spans="1:3" s="266" customFormat="1" ht="12" customHeight="1">
      <c r="A18" s="444" t="s">
        <v>440</v>
      </c>
      <c r="B18" s="333" t="s">
        <v>188</v>
      </c>
      <c r="C18" s="634"/>
    </row>
    <row r="19" spans="1:3" s="266" customFormat="1" ht="12" customHeight="1">
      <c r="A19" s="444" t="s">
        <v>353</v>
      </c>
      <c r="B19" s="497" t="s">
        <v>523</v>
      </c>
      <c r="C19" s="459">
        <f>SUM(C11:C18)</f>
        <v>674575246</v>
      </c>
    </row>
    <row r="20" spans="1:3" s="266" customFormat="1" ht="12" customHeight="1">
      <c r="A20" s="444" t="s">
        <v>354</v>
      </c>
      <c r="B20" s="397" t="s">
        <v>189</v>
      </c>
      <c r="C20" s="211"/>
    </row>
    <row r="21" spans="1:3" s="266" customFormat="1" ht="12" customHeight="1">
      <c r="A21" s="444" t="s">
        <v>355</v>
      </c>
      <c r="B21" s="398" t="s">
        <v>266</v>
      </c>
      <c r="C21" s="211"/>
    </row>
    <row r="22" spans="1:3" s="266" customFormat="1" ht="12" customHeight="1">
      <c r="A22" s="444" t="s">
        <v>447</v>
      </c>
      <c r="B22" s="398" t="s">
        <v>267</v>
      </c>
      <c r="C22" s="211"/>
    </row>
    <row r="23" spans="1:3" s="266" customFormat="1" ht="12" customHeight="1">
      <c r="A23" s="444" t="s">
        <v>448</v>
      </c>
      <c r="B23" s="398" t="s">
        <v>190</v>
      </c>
      <c r="C23" s="211">
        <v>122319900</v>
      </c>
    </row>
    <row r="24" spans="1:3" s="266" customFormat="1" ht="12" customHeight="1" thickBot="1">
      <c r="A24" s="444" t="s">
        <v>463</v>
      </c>
      <c r="B24" s="333" t="s">
        <v>511</v>
      </c>
      <c r="C24" s="211"/>
    </row>
    <row r="25" spans="1:3" s="266" customFormat="1" ht="12" customHeight="1" thickBot="1">
      <c r="A25" s="447">
        <v>16</v>
      </c>
      <c r="B25" s="396" t="s">
        <v>512</v>
      </c>
      <c r="C25" s="208">
        <f>+C26+C27+C28+C29+C30</f>
        <v>54557620</v>
      </c>
    </row>
    <row r="26" spans="1:3" s="266" customFormat="1" ht="12" customHeight="1">
      <c r="A26" s="444" t="s">
        <v>450</v>
      </c>
      <c r="B26" s="397" t="s">
        <v>191</v>
      </c>
      <c r="C26" s="211"/>
    </row>
    <row r="27" spans="1:3" s="266" customFormat="1" ht="12" customHeight="1">
      <c r="A27" s="444" t="s">
        <v>451</v>
      </c>
      <c r="B27" s="398" t="s">
        <v>192</v>
      </c>
      <c r="C27" s="210"/>
    </row>
    <row r="28" spans="1:3" s="266" customFormat="1" ht="12" customHeight="1">
      <c r="A28" s="444" t="s">
        <v>452</v>
      </c>
      <c r="B28" s="398" t="s">
        <v>268</v>
      </c>
      <c r="C28" s="210"/>
    </row>
    <row r="29" spans="1:3" s="266" customFormat="1" ht="12" customHeight="1">
      <c r="A29" s="444" t="s">
        <v>453</v>
      </c>
      <c r="B29" s="398" t="s">
        <v>269</v>
      </c>
      <c r="C29" s="210"/>
    </row>
    <row r="30" spans="1:3" s="334" customFormat="1" ht="12" customHeight="1">
      <c r="A30" s="444" t="s">
        <v>454</v>
      </c>
      <c r="B30" s="398" t="s">
        <v>193</v>
      </c>
      <c r="C30" s="210">
        <v>54557620</v>
      </c>
    </row>
    <row r="31" spans="1:3" s="266" customFormat="1" ht="12" customHeight="1" thickBot="1">
      <c r="A31" s="444" t="s">
        <v>464</v>
      </c>
      <c r="B31" s="333" t="s">
        <v>560</v>
      </c>
      <c r="C31" s="210">
        <v>54557620</v>
      </c>
    </row>
    <row r="32" spans="1:3" s="266" customFormat="1" ht="12" customHeight="1" thickBot="1">
      <c r="A32" s="447">
        <v>23</v>
      </c>
      <c r="B32" s="396" t="s">
        <v>513</v>
      </c>
      <c r="C32" s="214">
        <f>SUM(C33:C39)</f>
        <v>369000000</v>
      </c>
    </row>
    <row r="33" spans="1:3" s="266" customFormat="1" ht="12" customHeight="1">
      <c r="A33" s="444" t="s">
        <v>456</v>
      </c>
      <c r="B33" s="397" t="s">
        <v>315</v>
      </c>
      <c r="C33" s="211"/>
    </row>
    <row r="34" spans="1:3" s="266" customFormat="1" ht="12" customHeight="1">
      <c r="A34" s="444" t="s">
        <v>457</v>
      </c>
      <c r="B34" s="398" t="s">
        <v>768</v>
      </c>
      <c r="C34" s="210">
        <v>32000000</v>
      </c>
    </row>
    <row r="35" spans="1:3" s="266" customFormat="1" ht="12" customHeight="1">
      <c r="A35" s="444" t="s">
        <v>458</v>
      </c>
      <c r="B35" s="398" t="s">
        <v>316</v>
      </c>
      <c r="C35" s="210">
        <v>335000000</v>
      </c>
    </row>
    <row r="36" spans="1:3" s="266" customFormat="1" ht="12" customHeight="1">
      <c r="A36" s="444" t="s">
        <v>459</v>
      </c>
      <c r="B36" s="398" t="s">
        <v>434</v>
      </c>
      <c r="C36" s="210">
        <v>500000</v>
      </c>
    </row>
    <row r="37" spans="1:3" s="266" customFormat="1" ht="12" customHeight="1">
      <c r="A37" s="444" t="s">
        <v>460</v>
      </c>
      <c r="B37" s="398" t="s">
        <v>194</v>
      </c>
      <c r="C37" s="210"/>
    </row>
    <row r="38" spans="1:3" s="266" customFormat="1" ht="12" customHeight="1">
      <c r="A38" s="444" t="s">
        <v>461</v>
      </c>
      <c r="B38" s="398" t="s">
        <v>425</v>
      </c>
      <c r="C38" s="210"/>
    </row>
    <row r="39" spans="1:3" s="266" customFormat="1" ht="12" customHeight="1" thickBot="1">
      <c r="A39" s="444" t="s">
        <v>465</v>
      </c>
      <c r="B39" s="498" t="s">
        <v>807</v>
      </c>
      <c r="C39" s="212">
        <v>1500000</v>
      </c>
    </row>
    <row r="40" spans="1:3" s="266" customFormat="1" ht="12" customHeight="1" thickBot="1">
      <c r="A40" s="447">
        <v>31</v>
      </c>
      <c r="B40" s="396" t="s">
        <v>514</v>
      </c>
      <c r="C40" s="208">
        <f>SUM(C41:C51)</f>
        <v>32254059</v>
      </c>
    </row>
    <row r="41" spans="1:3" s="266" customFormat="1" ht="12" customHeight="1">
      <c r="A41" s="444" t="s">
        <v>466</v>
      </c>
      <c r="B41" s="397" t="s">
        <v>195</v>
      </c>
      <c r="C41" s="211"/>
    </row>
    <row r="42" spans="1:3" s="266" customFormat="1" ht="12" customHeight="1">
      <c r="A42" s="444" t="s">
        <v>467</v>
      </c>
      <c r="B42" s="398" t="s">
        <v>196</v>
      </c>
      <c r="C42" s="210">
        <v>610000</v>
      </c>
    </row>
    <row r="43" spans="1:3" s="266" customFormat="1" ht="12" customHeight="1">
      <c r="A43" s="444" t="s">
        <v>468</v>
      </c>
      <c r="B43" s="398" t="s">
        <v>197</v>
      </c>
      <c r="C43" s="210">
        <v>4871000</v>
      </c>
    </row>
    <row r="44" spans="1:3" s="266" customFormat="1" ht="12" customHeight="1">
      <c r="A44" s="444" t="s">
        <v>469</v>
      </c>
      <c r="B44" s="398" t="s">
        <v>198</v>
      </c>
      <c r="C44" s="210">
        <v>20740000</v>
      </c>
    </row>
    <row r="45" spans="1:3" s="266" customFormat="1" ht="12" customHeight="1">
      <c r="A45" s="444" t="s">
        <v>470</v>
      </c>
      <c r="B45" s="398" t="s">
        <v>199</v>
      </c>
      <c r="C45" s="210"/>
    </row>
    <row r="46" spans="1:3" s="266" customFormat="1" ht="12" customHeight="1">
      <c r="A46" s="444" t="s">
        <v>471</v>
      </c>
      <c r="B46" s="398" t="s">
        <v>200</v>
      </c>
      <c r="C46" s="210">
        <v>3421000</v>
      </c>
    </row>
    <row r="47" spans="1:3" s="266" customFormat="1" ht="12" customHeight="1">
      <c r="A47" s="444" t="s">
        <v>472</v>
      </c>
      <c r="B47" s="398" t="s">
        <v>201</v>
      </c>
      <c r="C47" s="210">
        <v>2542059</v>
      </c>
    </row>
    <row r="48" spans="1:3" s="266" customFormat="1" ht="12" customHeight="1">
      <c r="A48" s="444" t="s">
        <v>473</v>
      </c>
      <c r="B48" s="398" t="s">
        <v>317</v>
      </c>
      <c r="C48" s="210"/>
    </row>
    <row r="49" spans="1:3" s="266" customFormat="1" ht="12" customHeight="1">
      <c r="A49" s="444" t="s">
        <v>474</v>
      </c>
      <c r="B49" s="398" t="s">
        <v>203</v>
      </c>
      <c r="C49" s="213"/>
    </row>
    <row r="50" spans="1:3" s="266" customFormat="1" ht="12" customHeight="1">
      <c r="A50" s="444" t="s">
        <v>475</v>
      </c>
      <c r="B50" s="333" t="s">
        <v>274</v>
      </c>
      <c r="C50" s="261"/>
    </row>
    <row r="51" spans="1:3" s="266" customFormat="1" ht="12" customHeight="1" thickBot="1">
      <c r="A51" s="444" t="s">
        <v>476</v>
      </c>
      <c r="B51" s="333" t="s">
        <v>204</v>
      </c>
      <c r="C51" s="261">
        <v>70000</v>
      </c>
    </row>
    <row r="52" spans="1:3" s="266" customFormat="1" ht="12" customHeight="1" thickBot="1">
      <c r="A52" s="447">
        <v>43</v>
      </c>
      <c r="B52" s="396" t="s">
        <v>515</v>
      </c>
      <c r="C52" s="208">
        <f>SUM(C53:C57)</f>
        <v>69000000</v>
      </c>
    </row>
    <row r="53" spans="1:3" s="266" customFormat="1" ht="12" customHeight="1">
      <c r="A53" s="444" t="s">
        <v>477</v>
      </c>
      <c r="B53" s="397" t="s">
        <v>205</v>
      </c>
      <c r="C53" s="281"/>
    </row>
    <row r="54" spans="1:3" s="266" customFormat="1" ht="12" customHeight="1">
      <c r="A54" s="444" t="s">
        <v>478</v>
      </c>
      <c r="B54" s="398" t="s">
        <v>206</v>
      </c>
      <c r="C54" s="213">
        <v>69000000</v>
      </c>
    </row>
    <row r="55" spans="1:3" s="266" customFormat="1" ht="12" customHeight="1">
      <c r="A55" s="444" t="s">
        <v>479</v>
      </c>
      <c r="B55" s="398" t="s">
        <v>207</v>
      </c>
      <c r="C55" s="213"/>
    </row>
    <row r="56" spans="1:3" s="266" customFormat="1" ht="12" customHeight="1">
      <c r="A56" s="444" t="s">
        <v>480</v>
      </c>
      <c r="B56" s="398" t="s">
        <v>208</v>
      </c>
      <c r="C56" s="213"/>
    </row>
    <row r="57" spans="1:3" s="266" customFormat="1" ht="12" customHeight="1" thickBot="1">
      <c r="A57" s="444" t="s">
        <v>481</v>
      </c>
      <c r="B57" s="333" t="s">
        <v>209</v>
      </c>
      <c r="C57" s="261"/>
    </row>
    <row r="58" spans="1:3" s="266" customFormat="1" ht="12" customHeight="1" thickBot="1">
      <c r="A58" s="447">
        <v>49</v>
      </c>
      <c r="B58" s="396" t="s">
        <v>524</v>
      </c>
      <c r="C58" s="208">
        <f>SUM(C59:C61)</f>
        <v>0</v>
      </c>
    </row>
    <row r="59" spans="1:3" s="266" customFormat="1" ht="12" customHeight="1">
      <c r="A59" s="444" t="s">
        <v>482</v>
      </c>
      <c r="B59" s="397" t="s">
        <v>210</v>
      </c>
      <c r="C59" s="211"/>
    </row>
    <row r="60" spans="1:3" s="266" customFormat="1" ht="12" customHeight="1">
      <c r="A60" s="444" t="s">
        <v>483</v>
      </c>
      <c r="B60" s="398" t="s">
        <v>270</v>
      </c>
      <c r="C60" s="210"/>
    </row>
    <row r="61" spans="1:3" s="266" customFormat="1" ht="12" customHeight="1">
      <c r="A61" s="444" t="s">
        <v>484</v>
      </c>
      <c r="B61" s="398" t="s">
        <v>211</v>
      </c>
      <c r="C61" s="210"/>
    </row>
    <row r="62" spans="1:3" s="266" customFormat="1" ht="12" customHeight="1" thickBot="1">
      <c r="A62" s="444" t="s">
        <v>485</v>
      </c>
      <c r="B62" s="333" t="s">
        <v>561</v>
      </c>
      <c r="C62" s="212"/>
    </row>
    <row r="63" spans="1:3" s="266" customFormat="1" ht="12" customHeight="1" thickBot="1">
      <c r="A63" s="447">
        <v>54</v>
      </c>
      <c r="B63" s="399" t="s">
        <v>525</v>
      </c>
      <c r="C63" s="208">
        <f>SUM(C64:C66)</f>
        <v>0</v>
      </c>
    </row>
    <row r="64" spans="1:3" s="266" customFormat="1" ht="12" customHeight="1">
      <c r="A64" s="444" t="s">
        <v>486</v>
      </c>
      <c r="B64" s="397" t="s">
        <v>212</v>
      </c>
      <c r="C64" s="213"/>
    </row>
    <row r="65" spans="1:3" s="266" customFormat="1" ht="12" customHeight="1">
      <c r="A65" s="444" t="s">
        <v>487</v>
      </c>
      <c r="B65" s="398" t="s">
        <v>271</v>
      </c>
      <c r="C65" s="213"/>
    </row>
    <row r="66" spans="1:3" s="266" customFormat="1" ht="12" customHeight="1">
      <c r="A66" s="444" t="s">
        <v>488</v>
      </c>
      <c r="B66" s="398" t="s">
        <v>213</v>
      </c>
      <c r="C66" s="213"/>
    </row>
    <row r="67" spans="1:3" s="266" customFormat="1" ht="12" customHeight="1" thickBot="1">
      <c r="A67" s="444" t="s">
        <v>489</v>
      </c>
      <c r="B67" s="333" t="s">
        <v>562</v>
      </c>
      <c r="C67" s="213"/>
    </row>
    <row r="68" spans="1:3" s="266" customFormat="1" ht="12" customHeight="1" thickBot="1">
      <c r="A68" s="447">
        <v>59</v>
      </c>
      <c r="B68" s="396" t="s">
        <v>526</v>
      </c>
      <c r="C68" s="214">
        <f>+C10+C25+C32+C40+C52+C58+C63</f>
        <v>1321706825</v>
      </c>
    </row>
    <row r="69" spans="1:3" s="266" customFormat="1" ht="12" customHeight="1" thickBot="1">
      <c r="A69" s="448">
        <v>60</v>
      </c>
      <c r="B69" s="399" t="s">
        <v>527</v>
      </c>
      <c r="C69" s="208">
        <f>SUM(C70:C72)</f>
        <v>0</v>
      </c>
    </row>
    <row r="70" spans="1:3" s="266" customFormat="1" ht="12" customHeight="1">
      <c r="A70" s="444" t="s">
        <v>490</v>
      </c>
      <c r="B70" s="397" t="s">
        <v>214</v>
      </c>
      <c r="C70" s="213"/>
    </row>
    <row r="71" spans="1:3" s="266" customFormat="1" ht="12" customHeight="1">
      <c r="A71" s="444" t="s">
        <v>491</v>
      </c>
      <c r="B71" s="398" t="s">
        <v>215</v>
      </c>
      <c r="C71" s="213"/>
    </row>
    <row r="72" spans="1:3" s="266" customFormat="1" ht="12" customHeight="1" thickBot="1">
      <c r="A72" s="444" t="s">
        <v>492</v>
      </c>
      <c r="B72" s="296" t="s">
        <v>557</v>
      </c>
      <c r="C72" s="213"/>
    </row>
    <row r="73" spans="1:3" s="266" customFormat="1" ht="12" customHeight="1" thickBot="1">
      <c r="A73" s="448">
        <v>64</v>
      </c>
      <c r="B73" s="399" t="s">
        <v>528</v>
      </c>
      <c r="C73" s="208">
        <f>SUM(C74:C77)</f>
        <v>0</v>
      </c>
    </row>
    <row r="74" spans="1:3" s="266" customFormat="1" ht="12" customHeight="1">
      <c r="A74" s="444" t="s">
        <v>493</v>
      </c>
      <c r="B74" s="397" t="s">
        <v>216</v>
      </c>
      <c r="C74" s="213"/>
    </row>
    <row r="75" spans="1:3" s="266" customFormat="1" ht="12" customHeight="1">
      <c r="A75" s="444" t="s">
        <v>494</v>
      </c>
      <c r="B75" s="398" t="s">
        <v>322</v>
      </c>
      <c r="C75" s="213"/>
    </row>
    <row r="76" spans="1:3" s="266" customFormat="1" ht="12" customHeight="1">
      <c r="A76" s="444" t="s">
        <v>495</v>
      </c>
      <c r="B76" s="333" t="s">
        <v>217</v>
      </c>
      <c r="C76" s="261"/>
    </row>
    <row r="77" spans="1:3" s="266" customFormat="1" ht="12" customHeight="1" thickBot="1">
      <c r="A77" s="444" t="s">
        <v>496</v>
      </c>
      <c r="B77" s="499" t="s">
        <v>323</v>
      </c>
      <c r="C77" s="339"/>
    </row>
    <row r="78" spans="1:3" s="266" customFormat="1" ht="12" customHeight="1" thickBot="1">
      <c r="A78" s="448">
        <v>69</v>
      </c>
      <c r="B78" s="399" t="s">
        <v>529</v>
      </c>
      <c r="C78" s="208">
        <f>SUM(C79:C80)</f>
        <v>233226419</v>
      </c>
    </row>
    <row r="79" spans="1:3" s="266" customFormat="1" ht="12" customHeight="1">
      <c r="A79" s="444" t="s">
        <v>497</v>
      </c>
      <c r="B79" s="500" t="s">
        <v>218</v>
      </c>
      <c r="C79" s="409">
        <v>233226419</v>
      </c>
    </row>
    <row r="80" spans="1:3" s="266" customFormat="1" ht="12" customHeight="1" thickBot="1">
      <c r="A80" s="444" t="s">
        <v>498</v>
      </c>
      <c r="B80" s="499" t="s">
        <v>219</v>
      </c>
      <c r="C80" s="339"/>
    </row>
    <row r="81" spans="1:3" s="266" customFormat="1" ht="12" customHeight="1" thickBot="1">
      <c r="A81" s="448">
        <v>72</v>
      </c>
      <c r="B81" s="399" t="s">
        <v>530</v>
      </c>
      <c r="C81" s="208">
        <f>SUM(C82:C84)</f>
        <v>0</v>
      </c>
    </row>
    <row r="82" spans="1:3" s="266" customFormat="1" ht="12" customHeight="1">
      <c r="A82" s="444" t="s">
        <v>499</v>
      </c>
      <c r="B82" s="397" t="s">
        <v>220</v>
      </c>
      <c r="C82" s="213"/>
    </row>
    <row r="83" spans="1:3" s="266" customFormat="1" ht="12" customHeight="1">
      <c r="A83" s="444" t="s">
        <v>500</v>
      </c>
      <c r="B83" s="398" t="s">
        <v>221</v>
      </c>
      <c r="C83" s="213"/>
    </row>
    <row r="84" spans="1:3" s="266" customFormat="1" ht="12" customHeight="1" thickBot="1">
      <c r="A84" s="445" t="s">
        <v>501</v>
      </c>
      <c r="B84" s="499" t="s">
        <v>324</v>
      </c>
      <c r="C84" s="339"/>
    </row>
    <row r="85" spans="1:3" s="266" customFormat="1" ht="12" customHeight="1" thickBot="1">
      <c r="A85" s="449" t="s">
        <v>502</v>
      </c>
      <c r="B85" s="399" t="s">
        <v>516</v>
      </c>
      <c r="C85" s="208">
        <f>SUM(C86:C89)</f>
        <v>0</v>
      </c>
    </row>
    <row r="86" spans="1:3" s="266" customFormat="1" ht="12" customHeight="1">
      <c r="A86" s="444" t="s">
        <v>503</v>
      </c>
      <c r="B86" s="397" t="s">
        <v>222</v>
      </c>
      <c r="C86" s="213"/>
    </row>
    <row r="87" spans="1:3" s="266" customFormat="1" ht="12" customHeight="1">
      <c r="A87" s="444" t="s">
        <v>504</v>
      </c>
      <c r="B87" s="398" t="s">
        <v>223</v>
      </c>
      <c r="C87" s="213"/>
    </row>
    <row r="88" spans="1:12" s="266" customFormat="1" ht="12" customHeight="1">
      <c r="A88" s="444" t="s">
        <v>505</v>
      </c>
      <c r="B88" s="398" t="s">
        <v>224</v>
      </c>
      <c r="C88" s="213"/>
      <c r="L88" s="630"/>
    </row>
    <row r="89" spans="1:3" s="266" customFormat="1" ht="12" customHeight="1" thickBot="1">
      <c r="A89" s="445" t="s">
        <v>506</v>
      </c>
      <c r="B89" s="333" t="s">
        <v>225</v>
      </c>
      <c r="C89" s="213"/>
    </row>
    <row r="90" spans="1:3" s="266" customFormat="1" ht="13.5" customHeight="1" thickBot="1">
      <c r="A90" s="449" t="s">
        <v>507</v>
      </c>
      <c r="B90" s="399" t="s">
        <v>293</v>
      </c>
      <c r="C90" s="282"/>
    </row>
    <row r="91" spans="1:3" s="266" customFormat="1" ht="15.75" customHeight="1" thickBot="1">
      <c r="A91" s="450" t="s">
        <v>508</v>
      </c>
      <c r="B91" s="399" t="s">
        <v>226</v>
      </c>
      <c r="C91" s="282"/>
    </row>
    <row r="92" spans="1:3" s="266" customFormat="1" ht="16.5" customHeight="1" thickBot="1">
      <c r="A92" s="449" t="s">
        <v>509</v>
      </c>
      <c r="B92" s="400" t="s">
        <v>531</v>
      </c>
      <c r="C92" s="214">
        <f>+C69+C73+C78+C81+C85+C90+C91</f>
        <v>233226419</v>
      </c>
    </row>
    <row r="93" spans="1:3" s="266" customFormat="1" ht="15" customHeight="1" thickBot="1">
      <c r="A93" s="460" t="s">
        <v>510</v>
      </c>
      <c r="B93" s="401" t="s">
        <v>517</v>
      </c>
      <c r="C93" s="214">
        <f>+C68+C92</f>
        <v>1554933244</v>
      </c>
    </row>
    <row r="94" spans="1:3" ht="16.5" customHeight="1">
      <c r="A94" s="518"/>
      <c r="B94" s="5"/>
      <c r="C94" s="215"/>
    </row>
    <row r="95" spans="1:3" s="267" customFormat="1" ht="16.5" customHeight="1">
      <c r="A95" s="829" t="s">
        <v>45</v>
      </c>
      <c r="B95" s="829"/>
      <c r="C95" s="829"/>
    </row>
    <row r="96" spans="1:3" ht="16.5" customHeight="1" thickBot="1">
      <c r="A96" s="827"/>
      <c r="B96" s="827"/>
      <c r="C96" s="524" t="str">
        <f>C7</f>
        <v>Forintban!</v>
      </c>
    </row>
    <row r="97" spans="1:3" s="265" customFormat="1" ht="26.25" customHeight="1" thickBot="1">
      <c r="A97" s="631" t="s">
        <v>65</v>
      </c>
      <c r="B97" s="335" t="s">
        <v>46</v>
      </c>
      <c r="C97" s="525" t="str">
        <f>'KV_1.1.sz.mell.'!C97</f>
        <v>2023. évi előirányzat</v>
      </c>
    </row>
    <row r="98" spans="1:3" ht="12" customHeight="1" thickBot="1">
      <c r="A98" s="519"/>
      <c r="B98" s="335" t="s">
        <v>294</v>
      </c>
      <c r="C98" s="336" t="str">
        <f>'KV_1.1.sz.mell.'!C98</f>
        <v>B</v>
      </c>
    </row>
    <row r="99" spans="1:3" ht="12" customHeight="1" thickBot="1">
      <c r="A99" s="449">
        <v>1</v>
      </c>
      <c r="B99" s="13" t="s">
        <v>534</v>
      </c>
      <c r="C99" s="207">
        <f>C100+C101+C102+C103+C104</f>
        <v>1359396301</v>
      </c>
    </row>
    <row r="100" spans="1:3" ht="12" customHeight="1">
      <c r="A100" s="446" t="s">
        <v>441</v>
      </c>
      <c r="B100" s="504" t="s">
        <v>47</v>
      </c>
      <c r="C100" s="209">
        <v>205810000</v>
      </c>
    </row>
    <row r="101" spans="1:3" ht="12" customHeight="1">
      <c r="A101" s="444" t="s">
        <v>442</v>
      </c>
      <c r="B101" s="403" t="s">
        <v>131</v>
      </c>
      <c r="C101" s="210">
        <v>27295170</v>
      </c>
    </row>
    <row r="102" spans="1:3" ht="12" customHeight="1">
      <c r="A102" s="444" t="s">
        <v>443</v>
      </c>
      <c r="B102" s="403" t="s">
        <v>103</v>
      </c>
      <c r="C102" s="212">
        <v>212486845</v>
      </c>
    </row>
    <row r="103" spans="1:3" ht="12" customHeight="1">
      <c r="A103" s="444" t="s">
        <v>444</v>
      </c>
      <c r="B103" s="404" t="s">
        <v>132</v>
      </c>
      <c r="C103" s="212">
        <v>17960000</v>
      </c>
    </row>
    <row r="104" spans="1:6" ht="12" customHeight="1">
      <c r="A104" s="444" t="s">
        <v>445</v>
      </c>
      <c r="B104" s="404" t="s">
        <v>133</v>
      </c>
      <c r="C104" s="212">
        <f>C106+C111+C116+C117</f>
        <v>895844286</v>
      </c>
      <c r="F104" s="651"/>
    </row>
    <row r="105" spans="1:3" ht="12" customHeight="1">
      <c r="A105" s="444" t="s">
        <v>446</v>
      </c>
      <c r="B105" s="403" t="s">
        <v>563</v>
      </c>
      <c r="C105" s="212"/>
    </row>
    <row r="106" spans="1:3" ht="12" customHeight="1">
      <c r="A106" s="444" t="s">
        <v>462</v>
      </c>
      <c r="B106" s="99" t="s">
        <v>275</v>
      </c>
      <c r="C106" s="212">
        <v>23951645</v>
      </c>
    </row>
    <row r="107" spans="1:3" ht="12" customHeight="1">
      <c r="A107" s="444" t="s">
        <v>440</v>
      </c>
      <c r="B107" s="99" t="s">
        <v>532</v>
      </c>
      <c r="C107" s="212"/>
    </row>
    <row r="108" spans="1:3" ht="12" customHeight="1">
      <c r="A108" s="444" t="s">
        <v>353</v>
      </c>
      <c r="B108" s="99" t="s">
        <v>227</v>
      </c>
      <c r="C108" s="212"/>
    </row>
    <row r="109" spans="1:3" ht="12" customHeight="1">
      <c r="A109" s="444" t="s">
        <v>354</v>
      </c>
      <c r="B109" s="99" t="s">
        <v>228</v>
      </c>
      <c r="C109" s="212"/>
    </row>
    <row r="110" spans="1:3" ht="12" customHeight="1">
      <c r="A110" s="444" t="s">
        <v>355</v>
      </c>
      <c r="B110" s="99" t="s">
        <v>229</v>
      </c>
      <c r="C110" s="212"/>
    </row>
    <row r="111" spans="1:3" ht="12" customHeight="1">
      <c r="A111" s="444" t="s">
        <v>447</v>
      </c>
      <c r="B111" s="99" t="s">
        <v>230</v>
      </c>
      <c r="C111" s="212">
        <v>597023168</v>
      </c>
    </row>
    <row r="112" spans="1:3" ht="12" customHeight="1">
      <c r="A112" s="444" t="s">
        <v>448</v>
      </c>
      <c r="B112" s="99" t="s">
        <v>231</v>
      </c>
      <c r="C112" s="212"/>
    </row>
    <row r="113" spans="1:3" ht="12" customHeight="1">
      <c r="A113" s="444" t="s">
        <v>463</v>
      </c>
      <c r="B113" s="99" t="s">
        <v>232</v>
      </c>
      <c r="C113" s="212"/>
    </row>
    <row r="114" spans="1:3" ht="12" customHeight="1">
      <c r="A114" s="444" t="s">
        <v>449</v>
      </c>
      <c r="B114" s="99" t="s">
        <v>233</v>
      </c>
      <c r="C114" s="212"/>
    </row>
    <row r="115" spans="1:3" ht="12" customHeight="1">
      <c r="A115" s="444" t="s">
        <v>450</v>
      </c>
      <c r="B115" s="99" t="s">
        <v>234</v>
      </c>
      <c r="C115" s="212"/>
    </row>
    <row r="116" spans="1:3" ht="12" customHeight="1">
      <c r="A116" s="444" t="s">
        <v>451</v>
      </c>
      <c r="B116" s="99" t="s">
        <v>235</v>
      </c>
      <c r="C116" s="212">
        <v>237644000</v>
      </c>
    </row>
    <row r="117" spans="1:3" ht="12" customHeight="1">
      <c r="A117" s="444" t="s">
        <v>452</v>
      </c>
      <c r="B117" s="99" t="s">
        <v>533</v>
      </c>
      <c r="C117" s="210">
        <f>SUM(C118:C119)</f>
        <v>37225473</v>
      </c>
    </row>
    <row r="118" spans="1:3" ht="12" customHeight="1">
      <c r="A118" s="444" t="s">
        <v>453</v>
      </c>
      <c r="B118" s="406" t="s">
        <v>535</v>
      </c>
      <c r="C118" s="210">
        <v>10000000</v>
      </c>
    </row>
    <row r="119" spans="1:3" ht="12" customHeight="1" thickBot="1">
      <c r="A119" s="445" t="s">
        <v>454</v>
      </c>
      <c r="B119" s="456" t="s">
        <v>558</v>
      </c>
      <c r="C119" s="216">
        <v>27225473</v>
      </c>
    </row>
    <row r="120" spans="1:3" ht="12" customHeight="1" thickBot="1">
      <c r="A120" s="449" t="s">
        <v>464</v>
      </c>
      <c r="B120" s="297" t="s">
        <v>536</v>
      </c>
      <c r="C120" s="298">
        <f>+C121+C123+C125</f>
        <v>167479879</v>
      </c>
    </row>
    <row r="121" spans="1:3" ht="12" customHeight="1">
      <c r="A121" s="444">
        <v>23</v>
      </c>
      <c r="B121" s="403" t="s">
        <v>165</v>
      </c>
      <c r="C121" s="211">
        <v>157563979</v>
      </c>
    </row>
    <row r="122" spans="1:3" ht="12" customHeight="1">
      <c r="A122" s="444" t="s">
        <v>456</v>
      </c>
      <c r="B122" s="405" t="s">
        <v>556</v>
      </c>
      <c r="C122" s="211">
        <v>93201481</v>
      </c>
    </row>
    <row r="123" spans="1:3" ht="12" customHeight="1">
      <c r="A123" s="444" t="s">
        <v>457</v>
      </c>
      <c r="B123" s="405" t="s">
        <v>134</v>
      </c>
      <c r="C123" s="210">
        <v>9700000</v>
      </c>
    </row>
    <row r="124" spans="1:3" ht="12" customHeight="1">
      <c r="A124" s="444" t="s">
        <v>458</v>
      </c>
      <c r="B124" s="405" t="s">
        <v>521</v>
      </c>
      <c r="C124" s="181"/>
    </row>
    <row r="125" spans="1:3" ht="12" customHeight="1">
      <c r="A125" s="444" t="s">
        <v>459</v>
      </c>
      <c r="B125" s="333" t="s">
        <v>325</v>
      </c>
      <c r="C125" s="181">
        <v>215900</v>
      </c>
    </row>
    <row r="126" spans="1:3" ht="12" customHeight="1">
      <c r="A126" s="444" t="s">
        <v>460</v>
      </c>
      <c r="B126" s="398" t="s">
        <v>559</v>
      </c>
      <c r="C126" s="181"/>
    </row>
    <row r="127" spans="1:3" ht="15.75">
      <c r="A127" s="444" t="s">
        <v>461</v>
      </c>
      <c r="B127" s="526" t="s">
        <v>240</v>
      </c>
      <c r="C127" s="181"/>
    </row>
    <row r="128" spans="1:3" ht="12" customHeight="1">
      <c r="A128" s="444" t="s">
        <v>465</v>
      </c>
      <c r="B128" s="527" t="s">
        <v>229</v>
      </c>
      <c r="C128" s="181"/>
    </row>
    <row r="129" spans="1:3" ht="12" customHeight="1">
      <c r="A129" s="444" t="s">
        <v>518</v>
      </c>
      <c r="B129" s="527" t="s">
        <v>239</v>
      </c>
      <c r="C129" s="181"/>
    </row>
    <row r="130" spans="1:3" ht="12" customHeight="1">
      <c r="A130" s="444" t="s">
        <v>466</v>
      </c>
      <c r="B130" s="527" t="s">
        <v>238</v>
      </c>
      <c r="C130" s="181"/>
    </row>
    <row r="131" spans="1:3" ht="12" customHeight="1">
      <c r="A131" s="444" t="s">
        <v>467</v>
      </c>
      <c r="B131" s="527" t="s">
        <v>232</v>
      </c>
      <c r="C131" s="181"/>
    </row>
    <row r="132" spans="1:3" ht="15.75">
      <c r="A132" s="444" t="s">
        <v>468</v>
      </c>
      <c r="B132" s="527" t="s">
        <v>237</v>
      </c>
      <c r="C132" s="181"/>
    </row>
    <row r="133" spans="1:3" ht="12" customHeight="1" thickBot="1">
      <c r="A133" s="444">
        <v>35</v>
      </c>
      <c r="B133" s="527" t="s">
        <v>236</v>
      </c>
      <c r="C133" s="183">
        <v>215900</v>
      </c>
    </row>
    <row r="134" spans="1:3" ht="12" customHeight="1" thickBot="1">
      <c r="A134" s="449">
        <v>36</v>
      </c>
      <c r="B134" s="90" t="s">
        <v>519</v>
      </c>
      <c r="C134" s="208">
        <f>+C99+C120</f>
        <v>1526876180</v>
      </c>
    </row>
    <row r="135" spans="1:3" ht="12" customHeight="1" thickBot="1">
      <c r="A135" s="449">
        <v>37</v>
      </c>
      <c r="B135" s="90" t="s">
        <v>537</v>
      </c>
      <c r="C135" s="208">
        <f>+C136+C137+C138</f>
        <v>0</v>
      </c>
    </row>
    <row r="136" spans="1:3" ht="12" customHeight="1">
      <c r="A136" s="444">
        <v>38</v>
      </c>
      <c r="B136" s="405" t="s">
        <v>282</v>
      </c>
      <c r="C136" s="181"/>
    </row>
    <row r="137" spans="1:3" ht="12" customHeight="1">
      <c r="A137" s="444" t="s">
        <v>473</v>
      </c>
      <c r="B137" s="405" t="s">
        <v>283</v>
      </c>
      <c r="C137" s="181"/>
    </row>
    <row r="138" spans="1:3" ht="12" customHeight="1" thickBot="1">
      <c r="A138" s="444" t="s">
        <v>474</v>
      </c>
      <c r="B138" s="405" t="s">
        <v>284</v>
      </c>
      <c r="C138" s="181"/>
    </row>
    <row r="139" spans="1:3" ht="12" customHeight="1" thickBot="1">
      <c r="A139" s="449">
        <v>41</v>
      </c>
      <c r="B139" s="90" t="s">
        <v>538</v>
      </c>
      <c r="C139" s="208">
        <f>SUM(C140:C145)</f>
        <v>0</v>
      </c>
    </row>
    <row r="140" spans="1:3" ht="12" customHeight="1">
      <c r="A140" s="444">
        <v>42</v>
      </c>
      <c r="B140" s="406" t="s">
        <v>285</v>
      </c>
      <c r="C140" s="181"/>
    </row>
    <row r="141" spans="1:3" ht="12" customHeight="1">
      <c r="A141" s="444">
        <v>43</v>
      </c>
      <c r="B141" s="406" t="s">
        <v>277</v>
      </c>
      <c r="C141" s="181"/>
    </row>
    <row r="142" spans="1:3" ht="12" customHeight="1">
      <c r="A142" s="444" t="s">
        <v>477</v>
      </c>
      <c r="B142" s="406" t="s">
        <v>278</v>
      </c>
      <c r="C142" s="181"/>
    </row>
    <row r="143" spans="1:3" ht="12" customHeight="1">
      <c r="A143" s="444" t="s">
        <v>478</v>
      </c>
      <c r="B143" s="406" t="s">
        <v>279</v>
      </c>
      <c r="C143" s="181"/>
    </row>
    <row r="144" spans="1:3" ht="12" customHeight="1">
      <c r="A144" s="444" t="s">
        <v>479</v>
      </c>
      <c r="B144" s="407" t="s">
        <v>280</v>
      </c>
      <c r="C144" s="183"/>
    </row>
    <row r="145" spans="1:3" ht="12" customHeight="1" thickBot="1">
      <c r="A145" s="594">
        <v>47</v>
      </c>
      <c r="B145" s="456" t="s">
        <v>281</v>
      </c>
      <c r="C145" s="300"/>
    </row>
    <row r="146" spans="1:3" ht="12" customHeight="1" thickBot="1">
      <c r="A146" s="449">
        <v>48</v>
      </c>
      <c r="B146" s="90" t="s">
        <v>539</v>
      </c>
      <c r="C146" s="214">
        <f>+C147+C148+C149+C150</f>
        <v>28057064</v>
      </c>
    </row>
    <row r="147" spans="1:3" ht="12" customHeight="1">
      <c r="A147" s="444">
        <v>49</v>
      </c>
      <c r="B147" s="406" t="s">
        <v>241</v>
      </c>
      <c r="C147" s="181"/>
    </row>
    <row r="148" spans="1:3" ht="12" customHeight="1">
      <c r="A148" s="444" t="s">
        <v>482</v>
      </c>
      <c r="B148" s="406" t="s">
        <v>242</v>
      </c>
      <c r="C148" s="181">
        <v>26821095</v>
      </c>
    </row>
    <row r="149" spans="1:3" ht="12" customHeight="1">
      <c r="A149" s="444" t="s">
        <v>483</v>
      </c>
      <c r="B149" s="407" t="s">
        <v>288</v>
      </c>
      <c r="C149" s="183"/>
    </row>
    <row r="150" spans="1:3" ht="12" customHeight="1" thickBot="1">
      <c r="A150" s="445">
        <v>52</v>
      </c>
      <c r="B150" s="456" t="s">
        <v>255</v>
      </c>
      <c r="C150" s="300">
        <v>1235969</v>
      </c>
    </row>
    <row r="151" spans="1:3" ht="12" customHeight="1" thickBot="1">
      <c r="A151" s="449">
        <v>53</v>
      </c>
      <c r="B151" s="90" t="s">
        <v>540</v>
      </c>
      <c r="C151" s="217">
        <f>SUM(C152:C156)</f>
        <v>0</v>
      </c>
    </row>
    <row r="152" spans="1:3" ht="12" customHeight="1">
      <c r="A152" s="444">
        <v>54</v>
      </c>
      <c r="B152" s="406" t="s">
        <v>286</v>
      </c>
      <c r="C152" s="181"/>
    </row>
    <row r="153" spans="1:3" ht="12" customHeight="1">
      <c r="A153" s="444">
        <v>55</v>
      </c>
      <c r="B153" s="406" t="s">
        <v>289</v>
      </c>
      <c r="C153" s="181"/>
    </row>
    <row r="154" spans="1:3" ht="12" customHeight="1">
      <c r="A154" s="444" t="s">
        <v>487</v>
      </c>
      <c r="B154" s="406" t="s">
        <v>287</v>
      </c>
      <c r="C154" s="181"/>
    </row>
    <row r="155" spans="1:3" ht="12" customHeight="1">
      <c r="A155" s="444" t="s">
        <v>488</v>
      </c>
      <c r="B155" s="406" t="s">
        <v>307</v>
      </c>
      <c r="C155" s="181"/>
    </row>
    <row r="156" spans="1:3" ht="12" customHeight="1" thickBot="1">
      <c r="A156" s="444" t="s">
        <v>489</v>
      </c>
      <c r="B156" s="406" t="s">
        <v>290</v>
      </c>
      <c r="C156" s="181"/>
    </row>
    <row r="157" spans="1:3" ht="12" customHeight="1" thickBot="1">
      <c r="A157" s="449">
        <v>59</v>
      </c>
      <c r="B157" s="90" t="s">
        <v>291</v>
      </c>
      <c r="C157" s="299"/>
    </row>
    <row r="158" spans="1:9" ht="15" customHeight="1" thickBot="1">
      <c r="A158" s="449">
        <v>60</v>
      </c>
      <c r="B158" s="90" t="s">
        <v>292</v>
      </c>
      <c r="C158" s="299"/>
      <c r="F158" s="268"/>
      <c r="G158" s="269"/>
      <c r="H158" s="269"/>
      <c r="I158" s="269"/>
    </row>
    <row r="159" spans="1:5" s="266" customFormat="1" ht="17.25" customHeight="1" thickBot="1">
      <c r="A159" s="449">
        <v>61</v>
      </c>
      <c r="B159" s="90" t="s">
        <v>520</v>
      </c>
      <c r="C159" s="340">
        <f>+C135+C139+C146+C151+C157+C158</f>
        <v>28057064</v>
      </c>
      <c r="E159" s="264"/>
    </row>
    <row r="160" spans="1:3" ht="18" customHeight="1" thickBot="1">
      <c r="A160" s="449">
        <v>62</v>
      </c>
      <c r="B160" s="507" t="s">
        <v>541</v>
      </c>
      <c r="C160" s="340">
        <f>+C134+C159</f>
        <v>1554933244</v>
      </c>
    </row>
    <row r="161" spans="1:3" ht="15.75">
      <c r="A161" s="520"/>
      <c r="B161" s="515"/>
      <c r="C161" s="376">
        <f>C93-C160</f>
        <v>0</v>
      </c>
    </row>
    <row r="162" spans="1:3" ht="15" customHeight="1">
      <c r="A162" s="828" t="s">
        <v>243</v>
      </c>
      <c r="B162" s="828"/>
      <c r="C162" s="828"/>
    </row>
    <row r="163" spans="1:4" ht="13.5" customHeight="1" thickBot="1">
      <c r="A163" s="827"/>
      <c r="B163" s="827"/>
      <c r="C163" s="524" t="str">
        <f>C96</f>
        <v>Forintban!</v>
      </c>
      <c r="D163" s="270"/>
    </row>
    <row r="164" spans="1:3" ht="27.75" customHeight="1" thickBot="1">
      <c r="A164" s="447">
        <v>1</v>
      </c>
      <c r="B164" s="12" t="s">
        <v>522</v>
      </c>
      <c r="C164" s="208">
        <f>+C68-C134</f>
        <v>-205169355</v>
      </c>
    </row>
    <row r="165" spans="1:3" ht="32.25" thickBot="1">
      <c r="A165" s="447">
        <v>2</v>
      </c>
      <c r="B165" s="12" t="s">
        <v>592</v>
      </c>
      <c r="C165" s="208">
        <f>C92-C159</f>
        <v>205169355</v>
      </c>
    </row>
  </sheetData>
  <sheetProtection/>
  <mergeCells count="10">
    <mergeCell ref="B1:C1"/>
    <mergeCell ref="A6:C6"/>
    <mergeCell ref="A7:B7"/>
    <mergeCell ref="A96:B96"/>
    <mergeCell ref="A162:C162"/>
    <mergeCell ref="A163:B163"/>
    <mergeCell ref="A95:C95"/>
    <mergeCell ref="A2:C2"/>
    <mergeCell ref="A3:C3"/>
    <mergeCell ref="A4:C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8" max="2" man="1"/>
    <brk id="1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5"/>
  <sheetViews>
    <sheetView zoomScaleSheetLayoutView="100" workbookViewId="0" topLeftCell="A2">
      <selection activeCell="G38" sqref="G38"/>
    </sheetView>
  </sheetViews>
  <sheetFormatPr defaultColWidth="9.00390625" defaultRowHeight="12.75"/>
  <cols>
    <col min="1" max="1" width="9.50390625" style="252" customWidth="1"/>
    <col min="2" max="2" width="99.375" style="252" customWidth="1"/>
    <col min="3" max="3" width="21.625" style="253" customWidth="1"/>
    <col min="4" max="4" width="20.875" style="264" customWidth="1"/>
    <col min="5" max="16384" width="9.375" style="264" customWidth="1"/>
  </cols>
  <sheetData>
    <row r="1" spans="1:3" ht="18.75" customHeight="1" hidden="1">
      <c r="A1" s="373"/>
      <c r="B1" s="823" t="str">
        <f>CONCATENATE("2. melléklet ",ALAPADATOK!A7," ",ALAPADATOK!B7," ",ALAPADATOK!C7," ",ALAPADATOK!D7," ",ALAPADATOK!E7," ",ALAPADATOK!F7," ",ALAPADATOK!G7," ",ALAPADATOK!H7)</f>
        <v>2. melléklet a … / 2023. ( … ) önkormányzati rendelethez</v>
      </c>
      <c r="C1" s="824"/>
    </row>
    <row r="2" spans="1:3" ht="21.75" customHeight="1">
      <c r="A2" s="830" t="str">
        <f>CONCATENATE(ALAPADATOK!A3)</f>
        <v>Bátaszék Város Önkormányzata</v>
      </c>
      <c r="B2" s="831"/>
      <c r="C2" s="831"/>
    </row>
    <row r="3" spans="1:3" ht="21.75" customHeight="1">
      <c r="A3" s="830" t="str">
        <f>'KV_1.1.sz.mell.'!A3</f>
        <v>2023. ÉVI KÖLTSÉGVETÉS</v>
      </c>
      <c r="B3" s="831"/>
      <c r="C3" s="831"/>
    </row>
    <row r="4" spans="1:3" ht="21.75" customHeight="1">
      <c r="A4" s="830" t="s">
        <v>327</v>
      </c>
      <c r="B4" s="831"/>
      <c r="C4" s="831"/>
    </row>
    <row r="5" spans="1:3" ht="21.75" customHeight="1">
      <c r="A5" s="513"/>
      <c r="B5" s="513"/>
      <c r="C5" s="514"/>
    </row>
    <row r="6" spans="1:3" ht="15" customHeight="1">
      <c r="A6" s="825" t="str">
        <f>'KV_1.1.sz.mell.'!A6</f>
        <v>B E V É T E L E K</v>
      </c>
      <c r="B6" s="825"/>
      <c r="C6" s="825"/>
    </row>
    <row r="7" spans="1:3" ht="15" customHeight="1" thickBot="1">
      <c r="A7" s="826"/>
      <c r="B7" s="826"/>
      <c r="C7" s="522" t="str">
        <f>'KV_1.1.sz.mell.'!C7</f>
        <v>Forintban!</v>
      </c>
    </row>
    <row r="8" spans="1:3" ht="24" customHeight="1" thickBot="1">
      <c r="A8" s="632" t="str">
        <f>'KV_1.1.sz.mell.'!A8</f>
        <v>Sor-
szám</v>
      </c>
      <c r="B8" s="375" t="str">
        <f>'KV_1.1.sz.mell.'!B8</f>
        <v>Bevételi jogcím</v>
      </c>
      <c r="C8" s="523" t="str">
        <f>'KV_1.1.sz.mell.'!C8</f>
        <v>2023. évi előirányzat</v>
      </c>
    </row>
    <row r="9" spans="1:3" s="265" customFormat="1" ht="12" customHeight="1" thickBot="1">
      <c r="A9" s="517"/>
      <c r="B9" s="337" t="str">
        <f>'KV_1.1.sz.mell.'!B9</f>
        <v>A</v>
      </c>
      <c r="C9" s="338" t="str">
        <f>'KV_1.1.sz.mell.'!C9</f>
        <v>B</v>
      </c>
    </row>
    <row r="10" spans="1:3" s="266" customFormat="1" ht="12" customHeight="1" thickBot="1">
      <c r="A10" s="447">
        <f>'KV_1.1.sz.mell.'!A10</f>
        <v>1</v>
      </c>
      <c r="B10" s="396" t="str">
        <f>'KV_1.1.sz.mell.'!B10</f>
        <v>Működési célú támogatások államháztartáson belülről (10+…+11+…+14)</v>
      </c>
      <c r="C10" s="208">
        <f>C19+C20+C21+C22+C23</f>
        <v>796895146</v>
      </c>
    </row>
    <row r="11" spans="1:3" s="266" customFormat="1" ht="12" customHeight="1">
      <c r="A11" s="444" t="str">
        <f>'KV_1.1.sz.mell.'!A11</f>
        <v>2</v>
      </c>
      <c r="B11" s="397" t="str">
        <f>'KV_1.1.sz.mell.'!B11</f>
        <v>Helyi önkormányzatok működésének általános támogatása</v>
      </c>
      <c r="C11" s="211">
        <v>212720456</v>
      </c>
    </row>
    <row r="12" spans="1:3" s="266" customFormat="1" ht="12" customHeight="1">
      <c r="A12" s="444" t="str">
        <f>'KV_1.1.sz.mell.'!A12</f>
        <v>3</v>
      </c>
      <c r="B12" s="397" t="str">
        <f>'KV_1.1.sz.mell.'!B12</f>
        <v>Önkormányzatok egyes köznevelési feladatainak támogatása</v>
      </c>
      <c r="C12" s="211">
        <v>242155903</v>
      </c>
    </row>
    <row r="13" spans="1:3" s="266" customFormat="1" ht="12" customHeight="1">
      <c r="A13" s="444" t="str">
        <f>'KV_1.1.sz.mell.'!A13</f>
        <v>4</v>
      </c>
      <c r="B13" s="397" t="str">
        <f>'KV_1.1.sz.mell.'!B13</f>
        <v>Önkormányzatok szociális és gyermekjóléti feladatainak támogatása</v>
      </c>
      <c r="C13" s="211">
        <v>101472773</v>
      </c>
    </row>
    <row r="14" spans="1:3" s="266" customFormat="1" ht="12" customHeight="1">
      <c r="A14" s="444" t="str">
        <f>'KV_1.1.sz.mell.'!A14</f>
        <v>5</v>
      </c>
      <c r="B14" s="397" t="str">
        <f>'KV_1.1.sz.mell.'!B14</f>
        <v>Önkormányzatok gyermekétkeztetési feladatainak támogatása</v>
      </c>
      <c r="C14" s="211">
        <v>100167758</v>
      </c>
    </row>
    <row r="15" spans="1:3" s="266" customFormat="1" ht="12" customHeight="1">
      <c r="A15" s="444" t="str">
        <f>'KV_1.1.sz.mell.'!A15</f>
        <v>6</v>
      </c>
      <c r="B15" s="397" t="str">
        <f>'KV_1.1.sz.mell.'!B15</f>
        <v>Önkormányzatok kulturális feladatainak támogatása</v>
      </c>
      <c r="C15" s="211">
        <v>18058356</v>
      </c>
    </row>
    <row r="16" spans="1:3" s="266" customFormat="1" ht="12" customHeight="1">
      <c r="A16" s="444" t="str">
        <f>'KV_1.1.sz.mell.'!A16</f>
        <v>7</v>
      </c>
      <c r="B16" s="397" t="str">
        <f>'KV_1.1.sz.mell.'!B16</f>
        <v>Működési célú kvi támogatások és kiegészítő támogatások </v>
      </c>
      <c r="C16" s="211"/>
    </row>
    <row r="17" spans="1:3" s="266" customFormat="1" ht="12" customHeight="1">
      <c r="A17" s="444" t="str">
        <f>'KV_1.1.sz.mell.'!A17</f>
        <v>8</v>
      </c>
      <c r="B17" s="397" t="str">
        <f>'KV_1.1.sz.mell.'!B17</f>
        <v>Elszámolásból származó bevételek</v>
      </c>
      <c r="C17" s="211"/>
    </row>
    <row r="18" spans="1:3" s="266" customFormat="1" ht="12" customHeight="1">
      <c r="A18" s="444" t="str">
        <f>'KV_1.1.sz.mell.'!A18</f>
        <v>9</v>
      </c>
      <c r="B18" s="397" t="str">
        <f>'KV_1.1.sz.mell.'!B18</f>
        <v>Elvonások és befizetések bevételei</v>
      </c>
      <c r="C18" s="634"/>
    </row>
    <row r="19" spans="1:3" s="266" customFormat="1" ht="12" customHeight="1">
      <c r="A19" s="444" t="str">
        <f>'KV_1.1.sz.mell.'!A19</f>
        <v>10</v>
      </c>
      <c r="B19" s="397" t="str">
        <f>'KV_1.1.sz.mell.'!B19</f>
        <v>Önkormányzat működési támogatásai (2+…+.9)</v>
      </c>
      <c r="C19" s="459">
        <f>SUM(C11:C18)</f>
        <v>674575246</v>
      </c>
    </row>
    <row r="20" spans="1:3" s="266" customFormat="1" ht="12" customHeight="1">
      <c r="A20" s="444" t="str">
        <f>'KV_1.1.sz.mell.'!A20</f>
        <v>11</v>
      </c>
      <c r="B20" s="397" t="str">
        <f>'KV_1.1.sz.mell.'!B20</f>
        <v>Működési célú garancia- és kezességvállalásból megtérülések </v>
      </c>
      <c r="C20" s="211"/>
    </row>
    <row r="21" spans="1:3" s="266" customFormat="1" ht="12" customHeight="1">
      <c r="A21" s="444" t="str">
        <f>'KV_1.1.sz.mell.'!A21</f>
        <v>12</v>
      </c>
      <c r="B21" s="397" t="str">
        <f>'KV_1.1.sz.mell.'!B21</f>
        <v>Működési célú visszatérítendő támogatások, kölcsönök visszatérülése </v>
      </c>
      <c r="C21" s="211"/>
    </row>
    <row r="22" spans="1:3" s="266" customFormat="1" ht="12" customHeight="1">
      <c r="A22" s="444" t="str">
        <f>'KV_1.1.sz.mell.'!A22</f>
        <v>13</v>
      </c>
      <c r="B22" s="397" t="str">
        <f>'KV_1.1.sz.mell.'!B22</f>
        <v>Működési célú visszatérítendő támogatások, kölcsönök igénybevétele</v>
      </c>
      <c r="C22" s="211"/>
    </row>
    <row r="23" spans="1:3" s="266" customFormat="1" ht="12" customHeight="1">
      <c r="A23" s="444" t="str">
        <f>'KV_1.1.sz.mell.'!A23</f>
        <v>14</v>
      </c>
      <c r="B23" s="397" t="str">
        <f>'KV_1.1.sz.mell.'!B23</f>
        <v>Egyéb működési célú támogatások bevételei </v>
      </c>
      <c r="C23" s="211">
        <v>122319900</v>
      </c>
    </row>
    <row r="24" spans="1:3" s="266" customFormat="1" ht="12" customHeight="1" thickBot="1">
      <c r="A24" s="444" t="str">
        <f>'KV_1.1.sz.mell.'!A24</f>
        <v>15</v>
      </c>
      <c r="B24" s="397" t="str">
        <f>'KV_1.1.sz.mell.'!B24</f>
        <v>14-ből EU-s támogatás</v>
      </c>
      <c r="C24" s="211"/>
    </row>
    <row r="25" spans="1:3" s="266" customFormat="1" ht="12" customHeight="1" thickBot="1">
      <c r="A25" s="447">
        <f>'KV_1.1.sz.mell.'!A25</f>
        <v>16</v>
      </c>
      <c r="B25" s="396" t="str">
        <f>'KV_1.1.sz.mell.'!B25</f>
        <v>Felhalmozási célú támogatások államháztartáson belülről (17+…+21)</v>
      </c>
      <c r="C25" s="208">
        <f>+C26+C27+C28+C29+C30</f>
        <v>0</v>
      </c>
    </row>
    <row r="26" spans="1:3" s="266" customFormat="1" ht="12" customHeight="1">
      <c r="A26" s="444" t="str">
        <f>'KV_1.1.sz.mell.'!A26</f>
        <v>17</v>
      </c>
      <c r="B26" s="397" t="str">
        <f>'KV_1.1.sz.mell.'!B26</f>
        <v>Felhalmozási célú önkormányzati támogatások</v>
      </c>
      <c r="C26" s="211"/>
    </row>
    <row r="27" spans="1:3" s="266" customFormat="1" ht="12" customHeight="1">
      <c r="A27" s="444" t="str">
        <f>'KV_1.1.sz.mell.'!A27</f>
        <v>18</v>
      </c>
      <c r="B27" s="397" t="str">
        <f>'KV_1.1.sz.mell.'!B27</f>
        <v>Felhalmozási célú garancia- és kezességvállalásból megtérülések</v>
      </c>
      <c r="C27" s="210"/>
    </row>
    <row r="28" spans="1:3" s="266" customFormat="1" ht="12" customHeight="1">
      <c r="A28" s="444" t="str">
        <f>'KV_1.1.sz.mell.'!A28</f>
        <v>19</v>
      </c>
      <c r="B28" s="397" t="str">
        <f>'KV_1.1.sz.mell.'!B28</f>
        <v>Felhalmozási célú visszatérítendő támogatások, kölcsönök visszatérülése</v>
      </c>
      <c r="C28" s="210"/>
    </row>
    <row r="29" spans="1:3" s="266" customFormat="1" ht="12" customHeight="1">
      <c r="A29" s="444" t="str">
        <f>'KV_1.1.sz.mell.'!A29</f>
        <v>20</v>
      </c>
      <c r="B29" s="397" t="str">
        <f>'KV_1.1.sz.mell.'!B29</f>
        <v>Felhalmozási célú visszatérítendő támogatások, kölcsönök igénybevétele</v>
      </c>
      <c r="C29" s="210"/>
    </row>
    <row r="30" spans="1:3" s="266" customFormat="1" ht="12" customHeight="1">
      <c r="A30" s="444" t="str">
        <f>'KV_1.1.sz.mell.'!A30</f>
        <v>21</v>
      </c>
      <c r="B30" s="397" t="str">
        <f>'KV_1.1.sz.mell.'!B30</f>
        <v>Egyéb felhalmozási célú támogatások bevételei</v>
      </c>
      <c r="C30" s="210"/>
    </row>
    <row r="31" spans="1:3" s="334" customFormat="1" ht="12" customHeight="1" thickBot="1">
      <c r="A31" s="444" t="str">
        <f>'KV_1.1.sz.mell.'!A31</f>
        <v>22</v>
      </c>
      <c r="B31" s="397" t="str">
        <f>'KV_1.1.sz.mell.'!B31</f>
        <v>   21-ből EU-s támogatás</v>
      </c>
      <c r="C31" s="210"/>
    </row>
    <row r="32" spans="1:3" s="266" customFormat="1" ht="12" customHeight="1" thickBot="1">
      <c r="A32" s="447">
        <f>'KV_1.1.sz.mell.'!A32</f>
        <v>23</v>
      </c>
      <c r="B32" s="396" t="str">
        <f>'KV_1.1.sz.mell.'!B32</f>
        <v>Közhatalmi bevételek (24+…+30)</v>
      </c>
      <c r="C32" s="214">
        <f>SUM(C33:C39)</f>
        <v>0</v>
      </c>
    </row>
    <row r="33" spans="1:3" s="266" customFormat="1" ht="12" customHeight="1">
      <c r="A33" s="444" t="str">
        <f>'KV_1.1.sz.mell.'!A33</f>
        <v>24</v>
      </c>
      <c r="B33" s="397" t="str">
        <f>'KV_1.1.sz.mell.'!B33</f>
        <v>Építményadó</v>
      </c>
      <c r="C33" s="211"/>
    </row>
    <row r="34" spans="1:3" s="266" customFormat="1" ht="12" customHeight="1">
      <c r="A34" s="444" t="str">
        <f>'KV_1.1.sz.mell.'!A34</f>
        <v>25</v>
      </c>
      <c r="B34" s="397" t="str">
        <f>'KV_1.1.sz.mell.'!B34</f>
        <v>Magánszemélyek kommunális adója</v>
      </c>
      <c r="C34" s="210"/>
    </row>
    <row r="35" spans="1:3" s="266" customFormat="1" ht="12" customHeight="1">
      <c r="A35" s="444" t="str">
        <f>'KV_1.1.sz.mell.'!A35</f>
        <v>26</v>
      </c>
      <c r="B35" s="397" t="str">
        <f>'KV_1.1.sz.mell.'!B35</f>
        <v>Iparűzési adó</v>
      </c>
      <c r="C35" s="210"/>
    </row>
    <row r="36" spans="1:3" s="266" customFormat="1" ht="12" customHeight="1">
      <c r="A36" s="444" t="str">
        <f>'KV_1.1.sz.mell.'!A36</f>
        <v>27</v>
      </c>
      <c r="B36" s="397" t="str">
        <f>'KV_1.1.sz.mell.'!B36</f>
        <v>Talajterhelési díj </v>
      </c>
      <c r="C36" s="210"/>
    </row>
    <row r="37" spans="1:3" s="266" customFormat="1" ht="12" customHeight="1">
      <c r="A37" s="444" t="str">
        <f>'KV_1.1.sz.mell.'!A37</f>
        <v>28</v>
      </c>
      <c r="B37" s="397" t="str">
        <f>'KV_1.1.sz.mell.'!B37</f>
        <v>Gépjárműadó</v>
      </c>
      <c r="C37" s="210"/>
    </row>
    <row r="38" spans="1:3" s="266" customFormat="1" ht="12" customHeight="1">
      <c r="A38" s="444" t="str">
        <f>'KV_1.1.sz.mell.'!A38</f>
        <v>29</v>
      </c>
      <c r="B38" s="397" t="str">
        <f>'KV_1.1.sz.mell.'!B38</f>
        <v>Telekadó</v>
      </c>
      <c r="C38" s="210"/>
    </row>
    <row r="39" spans="1:3" s="266" customFormat="1" ht="12" customHeight="1" thickBot="1">
      <c r="A39" s="444" t="str">
        <f>'KV_1.1.sz.mell.'!A39</f>
        <v>30</v>
      </c>
      <c r="B39" s="397" t="str">
        <f>'KV_1.1.sz.mell.'!B39</f>
        <v>Egyéb közhatalmi bevétel</v>
      </c>
      <c r="C39" s="212"/>
    </row>
    <row r="40" spans="1:3" s="266" customFormat="1" ht="12" customHeight="1" thickBot="1">
      <c r="A40" s="447">
        <f>'KV_1.1.sz.mell.'!A40</f>
        <v>31</v>
      </c>
      <c r="B40" s="396" t="str">
        <f>'KV_1.1.sz.mell.'!B40</f>
        <v>Működési bevételek (32+…+ 42)</v>
      </c>
      <c r="C40" s="810">
        <f>SUM(C41:C51)</f>
        <v>15582059</v>
      </c>
    </row>
    <row r="41" spans="1:3" s="266" customFormat="1" ht="12" customHeight="1">
      <c r="A41" s="444" t="str">
        <f>'KV_1.1.sz.mell.'!A41</f>
        <v>32</v>
      </c>
      <c r="B41" s="397" t="str">
        <f>'KV_1.1.sz.mell.'!B41</f>
        <v>Készletértékesítés ellenértéke</v>
      </c>
      <c r="C41" s="211"/>
    </row>
    <row r="42" spans="1:3" s="266" customFormat="1" ht="12" customHeight="1">
      <c r="A42" s="444" t="str">
        <f>'KV_1.1.sz.mell.'!A42</f>
        <v>33</v>
      </c>
      <c r="B42" s="397" t="str">
        <f>'KV_1.1.sz.mell.'!B42</f>
        <v>Szolgáltatások ellenértéke</v>
      </c>
      <c r="C42" s="210">
        <v>610000</v>
      </c>
    </row>
    <row r="43" spans="1:3" s="266" customFormat="1" ht="12" customHeight="1">
      <c r="A43" s="444" t="str">
        <f>'KV_1.1.sz.mell.'!A43</f>
        <v>34</v>
      </c>
      <c r="B43" s="397" t="str">
        <f>'KV_1.1.sz.mell.'!B43</f>
        <v>Közvetített szolgáltatások értéke</v>
      </c>
      <c r="C43" s="210">
        <v>3200000</v>
      </c>
    </row>
    <row r="44" spans="1:3" s="266" customFormat="1" ht="12" customHeight="1">
      <c r="A44" s="444" t="str">
        <f>'KV_1.1.sz.mell.'!A44</f>
        <v>35</v>
      </c>
      <c r="B44" s="397" t="str">
        <f>'KV_1.1.sz.mell.'!B44</f>
        <v>Tulajdonosi bevételek</v>
      </c>
      <c r="C44" s="210">
        <v>8940000</v>
      </c>
    </row>
    <row r="45" spans="1:3" s="266" customFormat="1" ht="12" customHeight="1">
      <c r="A45" s="444" t="str">
        <f>'KV_1.1.sz.mell.'!A45</f>
        <v>36</v>
      </c>
      <c r="B45" s="397" t="str">
        <f>'KV_1.1.sz.mell.'!B45</f>
        <v>Ellátási díjak</v>
      </c>
      <c r="C45" s="210"/>
    </row>
    <row r="46" spans="1:3" s="266" customFormat="1" ht="12" customHeight="1">
      <c r="A46" s="444" t="str">
        <f>'KV_1.1.sz.mell.'!A46</f>
        <v>37</v>
      </c>
      <c r="B46" s="397" t="str">
        <f>'KV_1.1.sz.mell.'!B46</f>
        <v>Kiszámlázott általános forgalmi adó </v>
      </c>
      <c r="C46" s="210">
        <v>1670000</v>
      </c>
    </row>
    <row r="47" spans="1:3" s="266" customFormat="1" ht="12" customHeight="1">
      <c r="A47" s="444" t="str">
        <f>'KV_1.1.sz.mell.'!A47</f>
        <v>38</v>
      </c>
      <c r="B47" s="397" t="str">
        <f>'KV_1.1.sz.mell.'!B47</f>
        <v>Általános forgalmi adó visszatérítése</v>
      </c>
      <c r="C47" s="210">
        <v>1092059</v>
      </c>
    </row>
    <row r="48" spans="1:3" s="266" customFormat="1" ht="12" customHeight="1">
      <c r="A48" s="444" t="str">
        <f>'KV_1.1.sz.mell.'!A48</f>
        <v>39</v>
      </c>
      <c r="B48" s="397" t="str">
        <f>'KV_1.1.sz.mell.'!B48</f>
        <v>Kamatbevételek és más nyereségjellegű bevételek</v>
      </c>
      <c r="C48" s="210"/>
    </row>
    <row r="49" spans="1:3" s="266" customFormat="1" ht="12" customHeight="1">
      <c r="A49" s="444" t="str">
        <f>'KV_1.1.sz.mell.'!A49</f>
        <v>40</v>
      </c>
      <c r="B49" s="397" t="str">
        <f>'KV_1.1.sz.mell.'!B49</f>
        <v>Egyéb pénzügyi műveletek bevételei</v>
      </c>
      <c r="C49" s="213"/>
    </row>
    <row r="50" spans="1:3" s="266" customFormat="1" ht="12" customHeight="1">
      <c r="A50" s="444" t="str">
        <f>'KV_1.1.sz.mell.'!A50</f>
        <v>41</v>
      </c>
      <c r="B50" s="397" t="str">
        <f>'KV_1.1.sz.mell.'!B50</f>
        <v>Biztosító által fizetett kártérítés</v>
      </c>
      <c r="C50" s="261"/>
    </row>
    <row r="51" spans="1:3" s="266" customFormat="1" ht="12" customHeight="1" thickBot="1">
      <c r="A51" s="444" t="str">
        <f>'KV_1.1.sz.mell.'!A51</f>
        <v>42</v>
      </c>
      <c r="B51" s="397" t="str">
        <f>'KV_1.1.sz.mell.'!B51</f>
        <v>Egyéb működési bevételek</v>
      </c>
      <c r="C51" s="261">
        <v>70000</v>
      </c>
    </row>
    <row r="52" spans="1:3" s="266" customFormat="1" ht="12" customHeight="1" thickBot="1">
      <c r="A52" s="447">
        <f>'KV_1.1.sz.mell.'!A52</f>
        <v>43</v>
      </c>
      <c r="B52" s="396" t="str">
        <f>'KV_1.1.sz.mell.'!B52</f>
        <v>Felhalmozási bevételek (44+…+48)</v>
      </c>
      <c r="C52" s="208">
        <f>SUM(C53:C57)</f>
        <v>0</v>
      </c>
    </row>
    <row r="53" spans="1:3" s="266" customFormat="1" ht="12" customHeight="1">
      <c r="A53" s="444" t="str">
        <f>'KV_1.1.sz.mell.'!A53</f>
        <v>44</v>
      </c>
      <c r="B53" s="397" t="str">
        <f>'KV_1.1.sz.mell.'!B53</f>
        <v>Immateriális javak értékesítése</v>
      </c>
      <c r="C53" s="281"/>
    </row>
    <row r="54" spans="1:3" s="266" customFormat="1" ht="12" customHeight="1">
      <c r="A54" s="444" t="str">
        <f>'KV_1.1.sz.mell.'!A54</f>
        <v>45</v>
      </c>
      <c r="B54" s="397" t="str">
        <f>'KV_1.1.sz.mell.'!B54</f>
        <v>Ingatlanok értékesítése</v>
      </c>
      <c r="C54" s="213"/>
    </row>
    <row r="55" spans="1:3" s="266" customFormat="1" ht="12" customHeight="1">
      <c r="A55" s="444" t="str">
        <f>'KV_1.1.sz.mell.'!A55</f>
        <v>46</v>
      </c>
      <c r="B55" s="397" t="str">
        <f>'KV_1.1.sz.mell.'!B55</f>
        <v>Egyéb tárgyi eszközök értékesítése</v>
      </c>
      <c r="C55" s="213"/>
    </row>
    <row r="56" spans="1:3" s="266" customFormat="1" ht="12" customHeight="1">
      <c r="A56" s="444" t="str">
        <f>'KV_1.1.sz.mell.'!A56</f>
        <v>47</v>
      </c>
      <c r="B56" s="397" t="str">
        <f>'KV_1.1.sz.mell.'!B56</f>
        <v>Részesedések értékesítése</v>
      </c>
      <c r="C56" s="213"/>
    </row>
    <row r="57" spans="1:3" s="266" customFormat="1" ht="12" customHeight="1" thickBot="1">
      <c r="A57" s="444" t="str">
        <f>'KV_1.1.sz.mell.'!A57</f>
        <v>48</v>
      </c>
      <c r="B57" s="397" t="str">
        <f>'KV_1.1.sz.mell.'!B57</f>
        <v>Részesedések megszűnéséhez kapcsolódó bevételek</v>
      </c>
      <c r="C57" s="261"/>
    </row>
    <row r="58" spans="1:3" s="266" customFormat="1" ht="12" customHeight="1" thickBot="1">
      <c r="A58" s="447">
        <f>'KV_1.1.sz.mell.'!A58</f>
        <v>49</v>
      </c>
      <c r="B58" s="396" t="str">
        <f>'KV_1.1.sz.mell.'!B58</f>
        <v>Működési célú átvett pénzeszközök (50+ … + 52)</v>
      </c>
      <c r="C58" s="208">
        <f>SUM(C59:C61)</f>
        <v>0</v>
      </c>
    </row>
    <row r="59" spans="1:3" s="266" customFormat="1" ht="12" customHeight="1">
      <c r="A59" s="444" t="str">
        <f>'KV_1.1.sz.mell.'!A59</f>
        <v>50</v>
      </c>
      <c r="B59" s="397" t="str">
        <f>'KV_1.1.sz.mell.'!B59</f>
        <v>Működési célú garancia- és kezességvállalásból megtérülések ÁH-n kívülről</v>
      </c>
      <c r="C59" s="211"/>
    </row>
    <row r="60" spans="1:3" s="266" customFormat="1" ht="12" customHeight="1">
      <c r="A60" s="444" t="str">
        <f>'KV_1.1.sz.mell.'!A60</f>
        <v>51</v>
      </c>
      <c r="B60" s="397" t="str">
        <f>'KV_1.1.sz.mell.'!B60</f>
        <v>Működési célú visszatérítendő támogatások, kölcsönök visszatér. ÁH-n kívülről</v>
      </c>
      <c r="C60" s="210"/>
    </row>
    <row r="61" spans="1:3" s="266" customFormat="1" ht="12" customHeight="1">
      <c r="A61" s="444" t="str">
        <f>'KV_1.1.sz.mell.'!A61</f>
        <v>52</v>
      </c>
      <c r="B61" s="397" t="str">
        <f>'KV_1.1.sz.mell.'!B61</f>
        <v>Egyéb működési célú átvett pénzeszköz</v>
      </c>
      <c r="C61" s="210"/>
    </row>
    <row r="62" spans="1:3" s="266" customFormat="1" ht="12" customHeight="1" thickBot="1">
      <c r="A62" s="444" t="str">
        <f>'KV_1.1.sz.mell.'!A62</f>
        <v>53</v>
      </c>
      <c r="B62" s="397" t="str">
        <f>'KV_1.1.sz.mell.'!B62</f>
        <v>  52-ből EU-s támogatás (közvetlen)</v>
      </c>
      <c r="C62" s="212"/>
    </row>
    <row r="63" spans="1:3" s="266" customFormat="1" ht="12" customHeight="1" thickBot="1">
      <c r="A63" s="447">
        <f>'KV_1.1.sz.mell.'!A63</f>
        <v>54</v>
      </c>
      <c r="B63" s="399" t="str">
        <f>'KV_1.1.sz.mell.'!B63</f>
        <v>Felhalmozási célú átvett pénzeszközök (55+…+57)</v>
      </c>
      <c r="C63" s="208">
        <f>SUM(C64:C66)</f>
        <v>0</v>
      </c>
    </row>
    <row r="64" spans="1:3" s="266" customFormat="1" ht="12" customHeight="1">
      <c r="A64" s="444" t="str">
        <f>'KV_1.1.sz.mell.'!A64</f>
        <v>55</v>
      </c>
      <c r="B64" s="397" t="str">
        <f>'KV_1.1.sz.mell.'!B64</f>
        <v>Felhalm. célú garancia- és kezességvállalásból megtérülések ÁH-n kívülről</v>
      </c>
      <c r="C64" s="213"/>
    </row>
    <row r="65" spans="1:3" s="266" customFormat="1" ht="12" customHeight="1">
      <c r="A65" s="444" t="str">
        <f>'KV_1.1.sz.mell.'!A65</f>
        <v>56</v>
      </c>
      <c r="B65" s="397" t="str">
        <f>'KV_1.1.sz.mell.'!B65</f>
        <v>Felhalm. célú visszatérítendő támogatások, kölcsönök visszatér. ÁH-n kívülről</v>
      </c>
      <c r="C65" s="213"/>
    </row>
    <row r="66" spans="1:3" s="266" customFormat="1" ht="12" customHeight="1">
      <c r="A66" s="444" t="str">
        <f>'KV_1.1.sz.mell.'!A66</f>
        <v>57</v>
      </c>
      <c r="B66" s="397" t="str">
        <f>'KV_1.1.sz.mell.'!B66</f>
        <v>Egyéb felhalmozási célú átvett pénzeszköz</v>
      </c>
      <c r="C66" s="213"/>
    </row>
    <row r="67" spans="1:3" s="266" customFormat="1" ht="12" customHeight="1" thickBot="1">
      <c r="A67" s="444" t="str">
        <f>'KV_1.1.sz.mell.'!A67</f>
        <v>58</v>
      </c>
      <c r="B67" s="397" t="str">
        <f>'KV_1.1.sz.mell.'!B67</f>
        <v>  57-ből EU-s támogatás (közvetlen)</v>
      </c>
      <c r="C67" s="213"/>
    </row>
    <row r="68" spans="1:3" s="266" customFormat="1" ht="12" customHeight="1" thickBot="1">
      <c r="A68" s="447">
        <f>'KV_1.1.sz.mell.'!A68</f>
        <v>59</v>
      </c>
      <c r="B68" s="396" t="str">
        <f>'KV_1.1.sz.mell.'!B68</f>
        <v>KÖLTSÉGVETÉSI BEVÉTELEK ÖSSZESEN: (1+16+23+31+43+49+54)</v>
      </c>
      <c r="C68" s="214">
        <f>+C10+C25+C32+C40+C52+C58+C63</f>
        <v>812477205</v>
      </c>
    </row>
    <row r="69" spans="1:3" s="266" customFormat="1" ht="12" customHeight="1" thickBot="1">
      <c r="A69" s="448">
        <f>'KV_1.1.sz.mell.'!A69</f>
        <v>60</v>
      </c>
      <c r="B69" s="396" t="str">
        <f>'KV_1.1.sz.mell.'!B69</f>
        <v>Hitel-, kölcsönfelvétel államháztartáson kívülről  (61+…+63)</v>
      </c>
      <c r="C69" s="208">
        <f>SUM(C70:C72)</f>
        <v>0</v>
      </c>
    </row>
    <row r="70" spans="1:3" s="266" customFormat="1" ht="12" customHeight="1">
      <c r="A70" s="444" t="str">
        <f>'KV_1.1.sz.mell.'!A70</f>
        <v>61</v>
      </c>
      <c r="B70" s="397" t="str">
        <f>'KV_1.1.sz.mell.'!B70</f>
        <v>Hosszú lejáratú  hitelek, kölcsönök felvétele</v>
      </c>
      <c r="C70" s="213"/>
    </row>
    <row r="71" spans="1:3" s="266" customFormat="1" ht="12" customHeight="1">
      <c r="A71" s="444" t="str">
        <f>'KV_1.1.sz.mell.'!A71</f>
        <v>62</v>
      </c>
      <c r="B71" s="397" t="str">
        <f>'KV_1.1.sz.mell.'!B71</f>
        <v>Likviditási célú  hitelek, kölcsönök felvétele pénzügyi vállalkozástól</v>
      </c>
      <c r="C71" s="213"/>
    </row>
    <row r="72" spans="1:3" s="266" customFormat="1" ht="12" customHeight="1" thickBot="1">
      <c r="A72" s="444" t="str">
        <f>'KV_1.1.sz.mell.'!A72</f>
        <v>63</v>
      </c>
      <c r="B72" s="397" t="str">
        <f>'KV_1.1.sz.mell.'!B72</f>
        <v>Rövid lejáratú  hitelek, kölcsönök felvétele pénzügyi vállalkozástól</v>
      </c>
      <c r="C72" s="213"/>
    </row>
    <row r="73" spans="1:3" s="266" customFormat="1" ht="12" customHeight="1" thickBot="1">
      <c r="A73" s="448">
        <f>'KV_1.1.sz.mell.'!A73</f>
        <v>64</v>
      </c>
      <c r="B73" s="399" t="str">
        <f>'KV_1.1.sz.mell.'!B73</f>
        <v>Belföldi értékpapírok bevételei (65 +…+ 68)</v>
      </c>
      <c r="C73" s="208">
        <f>SUM(C74:C77)</f>
        <v>0</v>
      </c>
    </row>
    <row r="74" spans="1:3" s="266" customFormat="1" ht="12" customHeight="1">
      <c r="A74" s="444" t="str">
        <f>'KV_1.1.sz.mell.'!A74</f>
        <v>65</v>
      </c>
      <c r="B74" s="397" t="str">
        <f>'KV_1.1.sz.mell.'!B74</f>
        <v>Forgatási célú belföldi értékpapírok beváltása,  értékesítése</v>
      </c>
      <c r="C74" s="213"/>
    </row>
    <row r="75" spans="1:3" s="266" customFormat="1" ht="12" customHeight="1">
      <c r="A75" s="444" t="str">
        <f>'KV_1.1.sz.mell.'!A75</f>
        <v>66</v>
      </c>
      <c r="B75" s="397" t="str">
        <f>'KV_1.1.sz.mell.'!B75</f>
        <v>Éven belüli lejáratú belföldi értékpapírok kibocsátása</v>
      </c>
      <c r="C75" s="213"/>
    </row>
    <row r="76" spans="1:3" s="266" customFormat="1" ht="12" customHeight="1">
      <c r="A76" s="444" t="str">
        <f>'KV_1.1.sz.mell.'!A76</f>
        <v>67</v>
      </c>
      <c r="B76" s="397" t="str">
        <f>'KV_1.1.sz.mell.'!B76</f>
        <v>Befektetési célú belföldi értékpapírok beváltása,  értékesítése</v>
      </c>
      <c r="C76" s="261"/>
    </row>
    <row r="77" spans="1:3" s="266" customFormat="1" ht="12" customHeight="1" thickBot="1">
      <c r="A77" s="444" t="str">
        <f>'KV_1.1.sz.mell.'!A77</f>
        <v>68</v>
      </c>
      <c r="B77" s="397" t="str">
        <f>'KV_1.1.sz.mell.'!B77</f>
        <v>Éven túli lejáratú belföldi értékpapírok kibocsátása</v>
      </c>
      <c r="C77" s="339"/>
    </row>
    <row r="78" spans="1:3" s="266" customFormat="1" ht="12" customHeight="1" thickBot="1">
      <c r="A78" s="448">
        <f>'KV_1.1.sz.mell.'!A78</f>
        <v>69</v>
      </c>
      <c r="B78" s="399" t="str">
        <f>'KV_1.1.sz.mell.'!B78</f>
        <v>Maradvány igénybevétele (70 + 71)</v>
      </c>
      <c r="C78" s="208">
        <f>SUM(C79:C80)</f>
        <v>156449900</v>
      </c>
    </row>
    <row r="79" spans="1:3" s="266" customFormat="1" ht="12" customHeight="1">
      <c r="A79" s="444" t="str">
        <f>'KV_1.1.sz.mell.'!A79</f>
        <v>70</v>
      </c>
      <c r="B79" s="500" t="str">
        <f>'KV_1.1.sz.mell.'!B79</f>
        <v>Előző év költségvetési maradványának igénybevétele</v>
      </c>
      <c r="C79" s="409">
        <v>156449900</v>
      </c>
    </row>
    <row r="80" spans="1:3" s="266" customFormat="1" ht="12" customHeight="1" thickBot="1">
      <c r="A80" s="444" t="str">
        <f>'KV_1.1.sz.mell.'!A80</f>
        <v>71</v>
      </c>
      <c r="B80" s="397" t="str">
        <f>'KV_1.1.sz.mell.'!B80</f>
        <v>Előző év vállalkozási maradványának igénybevétele</v>
      </c>
      <c r="C80" s="339"/>
    </row>
    <row r="81" spans="1:3" s="266" customFormat="1" ht="12" customHeight="1" thickBot="1">
      <c r="A81" s="448">
        <f>'KV_1.1.sz.mell.'!A81</f>
        <v>72</v>
      </c>
      <c r="B81" s="399" t="str">
        <f>'KV_1.1.sz.mell.'!B81</f>
        <v>Belföldi finanszírozás bevételei (73 + … + 75)</v>
      </c>
      <c r="C81" s="208">
        <f>SUM(C82:C84)</f>
        <v>0</v>
      </c>
    </row>
    <row r="82" spans="1:3" s="266" customFormat="1" ht="12" customHeight="1">
      <c r="A82" s="444" t="str">
        <f>'KV_1.1.sz.mell.'!A82</f>
        <v>73</v>
      </c>
      <c r="B82" s="397" t="str">
        <f>'KV_1.1.sz.mell.'!B82</f>
        <v>Államháztartáson belüli megelőlegezések</v>
      </c>
      <c r="C82" s="213"/>
    </row>
    <row r="83" spans="1:3" s="266" customFormat="1" ht="12" customHeight="1">
      <c r="A83" s="444" t="str">
        <f>'KV_1.1.sz.mell.'!A83</f>
        <v>74</v>
      </c>
      <c r="B83" s="397" t="str">
        <f>'KV_1.1.sz.mell.'!B83</f>
        <v>Államháztartáson belüli megelőlegezések törlesztése</v>
      </c>
      <c r="C83" s="213"/>
    </row>
    <row r="84" spans="1:3" s="266" customFormat="1" ht="12" customHeight="1" thickBot="1">
      <c r="A84" s="445" t="str">
        <f>'KV_1.1.sz.mell.'!A84</f>
        <v>75</v>
      </c>
      <c r="B84" s="397" t="str">
        <f>'KV_1.1.sz.mell.'!B84</f>
        <v>Lekötött betétek megszüntetése</v>
      </c>
      <c r="C84" s="339"/>
    </row>
    <row r="85" spans="1:3" s="266" customFormat="1" ht="12" customHeight="1" thickBot="1">
      <c r="A85" s="449" t="str">
        <f>'KV_1.1.sz.mell.'!A85</f>
        <v>76</v>
      </c>
      <c r="B85" s="399" t="str">
        <f>'KV_1.1.sz.mell.'!B85</f>
        <v>Külföldi finanszírozás bevételei (77+…+80)</v>
      </c>
      <c r="C85" s="208">
        <f>SUM(C86:C89)</f>
        <v>0</v>
      </c>
    </row>
    <row r="86" spans="1:3" s="266" customFormat="1" ht="12" customHeight="1">
      <c r="A86" s="444" t="str">
        <f>'KV_1.1.sz.mell.'!A86</f>
        <v>77</v>
      </c>
      <c r="B86" s="397" t="str">
        <f>'KV_1.1.sz.mell.'!B86</f>
        <v>Forgatási célú külföldi értékpapírok beváltása,  értékesítése</v>
      </c>
      <c r="C86" s="213"/>
    </row>
    <row r="87" spans="1:3" s="266" customFormat="1" ht="12" customHeight="1">
      <c r="A87" s="444" t="str">
        <f>'KV_1.1.sz.mell.'!A87</f>
        <v>78</v>
      </c>
      <c r="B87" s="397" t="str">
        <f>'KV_1.1.sz.mell.'!B87</f>
        <v>Befektetési célú külföldi értékpapírok beváltása,  értékesítése</v>
      </c>
      <c r="C87" s="213"/>
    </row>
    <row r="88" spans="1:12" s="266" customFormat="1" ht="12" customHeight="1">
      <c r="A88" s="444" t="str">
        <f>'KV_1.1.sz.mell.'!A88</f>
        <v>79</v>
      </c>
      <c r="B88" s="397" t="str">
        <f>'KV_1.1.sz.mell.'!B88</f>
        <v>Külföldi értékpapírok kibocsátása</v>
      </c>
      <c r="C88" s="213"/>
      <c r="L88" s="630"/>
    </row>
    <row r="89" spans="1:3" s="266" customFormat="1" ht="12" customHeight="1" thickBot="1">
      <c r="A89" s="445" t="str">
        <f>'KV_1.1.sz.mell.'!A89</f>
        <v>80</v>
      </c>
      <c r="B89" s="397" t="str">
        <f>'KV_1.1.sz.mell.'!B89</f>
        <v>Külföldi hitelek, kölcsönök felvétele</v>
      </c>
      <c r="C89" s="213"/>
    </row>
    <row r="90" spans="1:3" s="266" customFormat="1" ht="12" customHeight="1" thickBot="1">
      <c r="A90" s="449" t="str">
        <f>'KV_1.1.sz.mell.'!A90</f>
        <v>81</v>
      </c>
      <c r="B90" s="399" t="str">
        <f>'KV_1.1.sz.mell.'!B90</f>
        <v>Váltóbevételek</v>
      </c>
      <c r="C90" s="282"/>
    </row>
    <row r="91" spans="1:3" s="266" customFormat="1" ht="13.5" customHeight="1" thickBot="1">
      <c r="A91" s="450" t="str">
        <f>'KV_1.1.sz.mell.'!A91</f>
        <v>82</v>
      </c>
      <c r="B91" s="399" t="str">
        <f>'KV_1.1.sz.mell.'!B91</f>
        <v>Adóssághoz nem kapcsolódó származékos ügyletek bevételei</v>
      </c>
      <c r="C91" s="282"/>
    </row>
    <row r="92" spans="1:3" s="266" customFormat="1" ht="15.75" customHeight="1" thickBot="1">
      <c r="A92" s="449" t="str">
        <f>'KV_1.1.sz.mell.'!A92</f>
        <v>83</v>
      </c>
      <c r="B92" s="399" t="str">
        <f>'KV_1.1.sz.mell.'!B92</f>
        <v>FINANSZÍROZÁSI BEVÉTELEK ÖSSZESEN: (60 + 64+69+72+76+81+82)</v>
      </c>
      <c r="C92" s="214">
        <f>+C69+C73+C78+C81+C85+C90+C91</f>
        <v>156449900</v>
      </c>
    </row>
    <row r="93" spans="1:3" s="266" customFormat="1" ht="16.5" customHeight="1" thickBot="1">
      <c r="A93" s="460" t="str">
        <f>'KV_1.1.sz.mell.'!A93</f>
        <v>84</v>
      </c>
      <c r="B93" s="399" t="str">
        <f>'KV_1.1.sz.mell.'!B93</f>
        <v>KÖLTSÉGVETÉSI ÉS FINANSZÍROZÁSI BEVÉTELEK ÖSSZESEN: (59+83)</v>
      </c>
      <c r="C93" s="214">
        <f>+C68+C92</f>
        <v>968927105</v>
      </c>
    </row>
    <row r="94" spans="1:3" s="266" customFormat="1" ht="10.5" customHeight="1">
      <c r="A94" s="518"/>
      <c r="B94" s="5"/>
      <c r="C94" s="215"/>
    </row>
    <row r="95" spans="1:3" ht="16.5" customHeight="1">
      <c r="A95" s="829" t="str">
        <f>'KV_1.1.sz.mell.'!A95</f>
        <v>K I A D Á S O K</v>
      </c>
      <c r="B95" s="829"/>
      <c r="C95" s="829"/>
    </row>
    <row r="96" spans="1:3" s="267" customFormat="1" ht="16.5" customHeight="1" thickBot="1">
      <c r="A96" s="827"/>
      <c r="B96" s="827"/>
      <c r="C96" s="524" t="str">
        <f>'KV_1.1.sz.mell.'!C96</f>
        <v>Forintban!</v>
      </c>
    </row>
    <row r="97" spans="1:3" ht="27.75" customHeight="1" thickBot="1">
      <c r="A97" s="631" t="str">
        <f>'KV_1.1.sz.mell.'!A97</f>
        <v>Sor-
szám</v>
      </c>
      <c r="B97" s="335" t="str">
        <f>'KV_1.1.sz.mell.'!B97</f>
        <v>Kiadási jogcímek</v>
      </c>
      <c r="C97" s="525" t="str">
        <f>'KV_1.1.sz.mell.'!C97</f>
        <v>2023. évi előirányzat</v>
      </c>
    </row>
    <row r="98" spans="1:3" s="265" customFormat="1" ht="12" customHeight="1" thickBot="1">
      <c r="A98" s="519"/>
      <c r="B98" s="335" t="str">
        <f>'KV_1.1.sz.mell.'!B98</f>
        <v>A</v>
      </c>
      <c r="C98" s="336" t="str">
        <f>'KV_1.1.sz.mell.'!C98</f>
        <v>B</v>
      </c>
    </row>
    <row r="99" spans="1:3" ht="12" customHeight="1" thickBot="1">
      <c r="A99" s="449">
        <f>'KV_1.1.sz.mell.'!A99</f>
        <v>1</v>
      </c>
      <c r="B99" s="13" t="str">
        <f>'KV_1.1.sz.mell.'!B99</f>
        <v>   Működési költségvetés kiadásai (2+…+6)</v>
      </c>
      <c r="C99" s="207">
        <f>C100+C101+C102+C103+C104</f>
        <v>1136509416</v>
      </c>
    </row>
    <row r="100" spans="1:3" ht="12" customHeight="1">
      <c r="A100" s="446" t="str">
        <f>'KV_1.1.sz.mell.'!A100</f>
        <v>2</v>
      </c>
      <c r="B100" s="402" t="str">
        <f>'KV_1.1.sz.mell.'!B100</f>
        <v>Személyi  juttatások</v>
      </c>
      <c r="C100" s="209">
        <v>203810000</v>
      </c>
    </row>
    <row r="101" spans="1:3" ht="12" customHeight="1">
      <c r="A101" s="444" t="str">
        <f>'KV_1.1.sz.mell.'!A101</f>
        <v>3</v>
      </c>
      <c r="B101" s="406" t="str">
        <f>'KV_1.1.sz.mell.'!B101</f>
        <v>Munkaadókat terhelő járulékok és szociális hozzájárulási adó</v>
      </c>
      <c r="C101" s="210">
        <v>26695170</v>
      </c>
    </row>
    <row r="102" spans="1:3" ht="12" customHeight="1">
      <c r="A102" s="444" t="str">
        <f>'KV_1.1.sz.mell.'!A102</f>
        <v>4</v>
      </c>
      <c r="B102" s="403" t="str">
        <f>'KV_1.1.sz.mell.'!B102</f>
        <v>Dologi  kiadások</v>
      </c>
      <c r="C102" s="809">
        <v>160200845</v>
      </c>
    </row>
    <row r="103" spans="1:3" ht="12" customHeight="1">
      <c r="A103" s="444" t="str">
        <f>'KV_1.1.sz.mell.'!A103</f>
        <v>5</v>
      </c>
      <c r="B103" s="403" t="str">
        <f>'KV_1.1.sz.mell.'!B103</f>
        <v>Ellátottak pénzbeli juttatásai</v>
      </c>
      <c r="C103" s="212">
        <v>12950000</v>
      </c>
    </row>
    <row r="104" spans="1:3" ht="12" customHeight="1">
      <c r="A104" s="444" t="str">
        <f>'KV_1.1.sz.mell.'!A104</f>
        <v>6</v>
      </c>
      <c r="B104" s="403" t="str">
        <f>'KV_1.1.sz.mell.'!B104</f>
        <v>Egyéb működési célú kiadások</v>
      </c>
      <c r="C104" s="212">
        <f>C106+C111+C116+C117</f>
        <v>732853401</v>
      </c>
    </row>
    <row r="105" spans="1:3" ht="12" customHeight="1">
      <c r="A105" s="444" t="str">
        <f>'KV_1.1.sz.mell.'!A105</f>
        <v>7</v>
      </c>
      <c r="B105" s="403" t="str">
        <f>'KV_1.1.sz.mell.'!B105</f>
        <v>   - a 6-ból:       - Előző évi elszámolásból származó befizetések</v>
      </c>
      <c r="C105" s="212"/>
    </row>
    <row r="106" spans="1:3" ht="12" customHeight="1">
      <c r="A106" s="444" t="str">
        <f>'KV_1.1.sz.mell.'!A106</f>
        <v>8</v>
      </c>
      <c r="B106" s="403" t="str">
        <f>'KV_1.1.sz.mell.'!B106</f>
        <v>   - Törvényi előíráson alapuló befizetések</v>
      </c>
      <c r="C106" s="212">
        <v>23951645</v>
      </c>
    </row>
    <row r="107" spans="1:3" ht="12" customHeight="1">
      <c r="A107" s="444" t="str">
        <f>'KV_1.1.sz.mell.'!A107</f>
        <v>9</v>
      </c>
      <c r="B107" s="403" t="str">
        <f>'KV_1.1.sz.mell.'!B107</f>
        <v>   - Egyéb elvonások, befizetések</v>
      </c>
      <c r="C107" s="212"/>
    </row>
    <row r="108" spans="1:3" ht="12" customHeight="1">
      <c r="A108" s="444" t="str">
        <f>'KV_1.1.sz.mell.'!A108</f>
        <v>10</v>
      </c>
      <c r="B108" s="403" t="str">
        <f>'KV_1.1.sz.mell.'!B108</f>
        <v>   - Garancia- és kezességvállalásból kifizetés ÁH-n belülre</v>
      </c>
      <c r="C108" s="212"/>
    </row>
    <row r="109" spans="1:3" ht="12" customHeight="1">
      <c r="A109" s="444" t="str">
        <f>'KV_1.1.sz.mell.'!A109</f>
        <v>11</v>
      </c>
      <c r="B109" s="403" t="str">
        <f>'KV_1.1.sz.mell.'!B109</f>
        <v>   -Visszatérítendő támogatások, kölcsönök nyújtása ÁH-n belülre</v>
      </c>
      <c r="C109" s="212"/>
    </row>
    <row r="110" spans="1:3" ht="12" customHeight="1">
      <c r="A110" s="444" t="str">
        <f>'KV_1.1.sz.mell.'!A110</f>
        <v>12</v>
      </c>
      <c r="B110" s="403" t="str">
        <f>'KV_1.1.sz.mell.'!B110</f>
        <v>   - Visszatérítendő támogatások, kölcsönök törlesztése ÁH-n belülre</v>
      </c>
      <c r="C110" s="212"/>
    </row>
    <row r="111" spans="1:3" ht="12" customHeight="1">
      <c r="A111" s="444" t="str">
        <f>'KV_1.1.sz.mell.'!A111</f>
        <v>13</v>
      </c>
      <c r="B111" s="403" t="str">
        <f>'KV_1.1.sz.mell.'!B111</f>
        <v>   - Egyéb működési célú támogatások ÁH-n belülre</v>
      </c>
      <c r="C111" s="212">
        <v>566035247</v>
      </c>
    </row>
    <row r="112" spans="1:3" ht="12" customHeight="1">
      <c r="A112" s="444" t="str">
        <f>'KV_1.1.sz.mell.'!A112</f>
        <v>14</v>
      </c>
      <c r="B112" s="403" t="str">
        <f>'KV_1.1.sz.mell.'!B112</f>
        <v>   - Garancia és kezességvállalásból kifizetés ÁH-n kívülre</v>
      </c>
      <c r="C112" s="212"/>
    </row>
    <row r="113" spans="1:3" ht="12" customHeight="1">
      <c r="A113" s="444" t="str">
        <f>'KV_1.1.sz.mell.'!A113</f>
        <v>15</v>
      </c>
      <c r="B113" s="403" t="str">
        <f>'KV_1.1.sz.mell.'!B113</f>
        <v>   - Visszatérítendő támogatások, kölcsönök nyújtása ÁH-n kívülre</v>
      </c>
      <c r="C113" s="212"/>
    </row>
    <row r="114" spans="1:3" ht="12" customHeight="1">
      <c r="A114" s="444" t="str">
        <f>'KV_1.1.sz.mell.'!A114</f>
        <v>16</v>
      </c>
      <c r="B114" s="403" t="str">
        <f>'KV_1.1.sz.mell.'!B114</f>
        <v>   - Árkiegészítések, ártámogatások</v>
      </c>
      <c r="C114" s="212"/>
    </row>
    <row r="115" spans="1:3" ht="12" customHeight="1">
      <c r="A115" s="444" t="str">
        <f>'KV_1.1.sz.mell.'!A115</f>
        <v>17</v>
      </c>
      <c r="B115" s="403" t="str">
        <f>'KV_1.1.sz.mell.'!B115</f>
        <v>   - Kamattámogatások</v>
      </c>
      <c r="C115" s="212"/>
    </row>
    <row r="116" spans="1:3" ht="12" customHeight="1">
      <c r="A116" s="444" t="str">
        <f>'KV_1.1.sz.mell.'!A116</f>
        <v>18</v>
      </c>
      <c r="B116" s="403" t="str">
        <f>'KV_1.1.sz.mell.'!B116</f>
        <v>   - Egyéb működési célú támogatások államháztartáson kívülre</v>
      </c>
      <c r="C116" s="212">
        <v>129264000</v>
      </c>
    </row>
    <row r="117" spans="1:3" ht="12" customHeight="1">
      <c r="A117" s="444" t="str">
        <f>'KV_1.1.sz.mell.'!A117</f>
        <v>19</v>
      </c>
      <c r="B117" s="403" t="str">
        <f>'KV_1.1.sz.mell.'!B117</f>
        <v>   - Tartalékok</v>
      </c>
      <c r="C117" s="210">
        <f>SUM(C118:C119)</f>
        <v>13602509</v>
      </c>
    </row>
    <row r="118" spans="1:3" ht="12" customHeight="1">
      <c r="A118" s="444" t="str">
        <f>'KV_1.1.sz.mell.'!A118</f>
        <v>20</v>
      </c>
      <c r="B118" s="403" t="str">
        <f>'KV_1.1.sz.mell.'!B118</f>
        <v>         - a 19-ből:             - Általános tartalék</v>
      </c>
      <c r="C118" s="210">
        <v>5000000</v>
      </c>
    </row>
    <row r="119" spans="1:3" ht="12" customHeight="1" thickBot="1">
      <c r="A119" s="445" t="str">
        <f>'KV_1.1.sz.mell.'!A119</f>
        <v>21</v>
      </c>
      <c r="B119" s="456" t="str">
        <f>'KV_1.1.sz.mell.'!B119</f>
        <v>                                       - Céltartalék</v>
      </c>
      <c r="C119" s="216">
        <v>8602509</v>
      </c>
    </row>
    <row r="120" spans="1:3" ht="12" customHeight="1" thickBot="1">
      <c r="A120" s="449" t="str">
        <f>'KV_1.1.sz.mell.'!A120</f>
        <v>22</v>
      </c>
      <c r="B120" s="297" t="str">
        <f>'KV_1.1.sz.mell.'!B120</f>
        <v>   Felhalmozási költségvetés kiadásai (23+25+27)</v>
      </c>
      <c r="C120" s="298">
        <f>+C121+C123+C125</f>
        <v>21025382</v>
      </c>
    </row>
    <row r="121" spans="1:3" ht="12" customHeight="1">
      <c r="A121" s="444">
        <f>'KV_1.1.sz.mell.'!A121</f>
        <v>23</v>
      </c>
      <c r="B121" s="403" t="str">
        <f>'KV_1.1.sz.mell.'!B121</f>
        <v>Beruházások</v>
      </c>
      <c r="C121" s="211">
        <v>11109482</v>
      </c>
    </row>
    <row r="122" spans="1:3" ht="12" customHeight="1">
      <c r="A122" s="444" t="str">
        <f>'KV_1.1.sz.mell.'!A122</f>
        <v>24</v>
      </c>
      <c r="B122" s="403" t="str">
        <f>'KV_1.1.sz.mell.'!B122</f>
        <v>23-ból EU-s forrásból megvalósuló beruházás</v>
      </c>
      <c r="C122" s="211"/>
    </row>
    <row r="123" spans="1:3" ht="12" customHeight="1">
      <c r="A123" s="444" t="str">
        <f>'KV_1.1.sz.mell.'!A123</f>
        <v>25</v>
      </c>
      <c r="B123" s="403" t="str">
        <f>'KV_1.1.sz.mell.'!B123</f>
        <v>Felújítások</v>
      </c>
      <c r="C123" s="210">
        <v>9700000</v>
      </c>
    </row>
    <row r="124" spans="1:3" ht="12" customHeight="1">
      <c r="A124" s="444" t="str">
        <f>'KV_1.1.sz.mell.'!A124</f>
        <v>26</v>
      </c>
      <c r="B124" s="403" t="str">
        <f>'KV_1.1.sz.mell.'!B124</f>
        <v>25-ből EU-s forrásból megvalósuló felújítás</v>
      </c>
      <c r="C124" s="181"/>
    </row>
    <row r="125" spans="1:3" ht="12" customHeight="1">
      <c r="A125" s="444" t="str">
        <f>'KV_1.1.sz.mell.'!A125</f>
        <v>27</v>
      </c>
      <c r="B125" s="403" t="str">
        <f>'KV_1.1.sz.mell.'!B125</f>
        <v>Egyéb felhalmozási célú kiadások</v>
      </c>
      <c r="C125" s="181">
        <v>215900</v>
      </c>
    </row>
    <row r="126" spans="1:3" ht="12" customHeight="1">
      <c r="A126" s="444" t="str">
        <f>'KV_1.1.sz.mell.'!A126</f>
        <v>28</v>
      </c>
      <c r="B126" s="403" t="str">
        <f>'KV_1.1.sz.mell.'!B126</f>
        <v>27-ből           - Garancia- és kezességvállalásból kifizetés ÁH-n belülre</v>
      </c>
      <c r="C126" s="181"/>
    </row>
    <row r="127" spans="1:3" ht="12" customHeight="1">
      <c r="A127" s="444" t="str">
        <f>'KV_1.1.sz.mell.'!A127</f>
        <v>29</v>
      </c>
      <c r="B127" s="403" t="str">
        <f>'KV_1.1.sz.mell.'!B127</f>
        <v>   - Visszatérítendő támogatások, kölcsönök nyújtása ÁH-n belülre</v>
      </c>
      <c r="C127" s="181"/>
    </row>
    <row r="128" spans="1:3" ht="15.75">
      <c r="A128" s="444" t="str">
        <f>'KV_1.1.sz.mell.'!A128</f>
        <v>30</v>
      </c>
      <c r="B128" s="403" t="str">
        <f>'KV_1.1.sz.mell.'!B128</f>
        <v>   - Visszatérítendő támogatások, kölcsönök törlesztése ÁH-n belülre</v>
      </c>
      <c r="C128" s="181"/>
    </row>
    <row r="129" spans="1:3" ht="12" customHeight="1">
      <c r="A129" s="444" t="str">
        <f>'KV_1.1.sz.mell.'!A129</f>
        <v>31</v>
      </c>
      <c r="B129" s="403" t="str">
        <f>'KV_1.1.sz.mell.'!B129</f>
        <v>   - Egyéb felhalmozási célú támogatások ÁH-n belülre</v>
      </c>
      <c r="C129" s="181"/>
    </row>
    <row r="130" spans="1:3" ht="12" customHeight="1">
      <c r="A130" s="444" t="str">
        <f>'KV_1.1.sz.mell.'!A130</f>
        <v>32</v>
      </c>
      <c r="B130" s="403" t="str">
        <f>'KV_1.1.sz.mell.'!B130</f>
        <v>   - Garancia- és kezességvállalásból kifizetés ÁH-n kívülre</v>
      </c>
      <c r="C130" s="181"/>
    </row>
    <row r="131" spans="1:3" ht="12" customHeight="1">
      <c r="A131" s="444" t="str">
        <f>'KV_1.1.sz.mell.'!A131</f>
        <v>33</v>
      </c>
      <c r="B131" s="403" t="str">
        <f>'KV_1.1.sz.mell.'!B131</f>
        <v>   - Visszatérítendő támogatások, kölcsönök nyújtása ÁH-n kívülre</v>
      </c>
      <c r="C131" s="181"/>
    </row>
    <row r="132" spans="1:3" ht="12" customHeight="1">
      <c r="A132" s="444" t="str">
        <f>'KV_1.1.sz.mell.'!A132</f>
        <v>34</v>
      </c>
      <c r="B132" s="403" t="str">
        <f>'KV_1.1.sz.mell.'!B132</f>
        <v>   - Lakástámogatás</v>
      </c>
      <c r="C132" s="181"/>
    </row>
    <row r="133" spans="1:3" ht="16.5" thickBot="1">
      <c r="A133" s="444">
        <f>'KV_1.1.sz.mell.'!A133</f>
        <v>35</v>
      </c>
      <c r="B133" s="403" t="str">
        <f>'KV_1.1.sz.mell.'!B133</f>
        <v>   - Egyéb felhalmozási célú támogatások államháztartáson kívülre</v>
      </c>
      <c r="C133" s="183">
        <v>215900</v>
      </c>
    </row>
    <row r="134" spans="1:3" ht="12" customHeight="1" thickBot="1">
      <c r="A134" s="449">
        <f>'KV_1.1.sz.mell.'!A134</f>
        <v>36</v>
      </c>
      <c r="B134" s="90" t="str">
        <f>'KV_1.1.sz.mell.'!B134</f>
        <v>KÖLTSÉGVETÉSI KIADÁSOK ÖSSZESEN (1+22)</v>
      </c>
      <c r="C134" s="208">
        <f>+C99+C120</f>
        <v>1157534798</v>
      </c>
    </row>
    <row r="135" spans="1:3" ht="12" customHeight="1" thickBot="1">
      <c r="A135" s="449">
        <f>'KV_1.1.sz.mell.'!A135</f>
        <v>37</v>
      </c>
      <c r="B135" s="90" t="str">
        <f>'KV_1.1.sz.mell.'!B135</f>
        <v>Hitel-, kölcsöntörlesztés államháztartáson kívülre (38+ … + 40)</v>
      </c>
      <c r="C135" s="208">
        <f>+C136+C137+C138</f>
        <v>0</v>
      </c>
    </row>
    <row r="136" spans="1:3" ht="12" customHeight="1">
      <c r="A136" s="444">
        <f>'KV_1.1.sz.mell.'!A136</f>
        <v>38</v>
      </c>
      <c r="B136" s="405" t="str">
        <f>'KV_1.1.sz.mell.'!B136</f>
        <v>Hosszú lejáratú hitelek, kölcsönök törlesztése pénzügyi vállalkozásnak</v>
      </c>
      <c r="C136" s="181"/>
    </row>
    <row r="137" spans="1:3" ht="12" customHeight="1">
      <c r="A137" s="444" t="str">
        <f>'KV_1.1.sz.mell.'!A137</f>
        <v>39</v>
      </c>
      <c r="B137" s="405" t="str">
        <f>'KV_1.1.sz.mell.'!B137</f>
        <v>Likviditási célú hitelek, kölcsönök törlesztése pénzügyi vállalkozásnak</v>
      </c>
      <c r="C137" s="181"/>
    </row>
    <row r="138" spans="1:3" ht="12" customHeight="1" thickBot="1">
      <c r="A138" s="444" t="str">
        <f>'KV_1.1.sz.mell.'!A138</f>
        <v>40</v>
      </c>
      <c r="B138" s="405" t="str">
        <f>'KV_1.1.sz.mell.'!B138</f>
        <v>Rövid lejáratú hitelek, kölcsönök törlesztése pénzügyi vállalkozásnak</v>
      </c>
      <c r="C138" s="181"/>
    </row>
    <row r="139" spans="1:3" ht="12" customHeight="1" thickBot="1">
      <c r="A139" s="449">
        <f>'KV_1.1.sz.mell.'!A139</f>
        <v>41</v>
      </c>
      <c r="B139" s="90" t="str">
        <f>'KV_1.1.sz.mell.'!B139</f>
        <v>Belföldi értékpapírok kiadásai (42+ … + 47)</v>
      </c>
      <c r="C139" s="208">
        <f>SUM(C140:C145)</f>
        <v>0</v>
      </c>
    </row>
    <row r="140" spans="1:3" ht="12" customHeight="1">
      <c r="A140" s="444">
        <f>'KV_1.1.sz.mell.'!A140</f>
        <v>42</v>
      </c>
      <c r="B140" s="406" t="str">
        <f>'KV_1.1.sz.mell.'!B140</f>
        <v>Forgatási célú belföldi értékpapírok vásárlása</v>
      </c>
      <c r="C140" s="181"/>
    </row>
    <row r="141" spans="1:3" ht="12" customHeight="1">
      <c r="A141" s="444">
        <f>'KV_1.1.sz.mell.'!A141</f>
        <v>43</v>
      </c>
      <c r="B141" s="406" t="str">
        <f>'KV_1.1.sz.mell.'!B141</f>
        <v>Befektetési célú belföldi értékpapírok vásárlása</v>
      </c>
      <c r="C141" s="181"/>
    </row>
    <row r="142" spans="1:3" ht="12" customHeight="1">
      <c r="A142" s="444" t="str">
        <f>'KV_1.1.sz.mell.'!A142</f>
        <v>44</v>
      </c>
      <c r="B142" s="406" t="str">
        <f>'KV_1.1.sz.mell.'!B142</f>
        <v>Kincstárjegyek beváltása</v>
      </c>
      <c r="C142" s="181"/>
    </row>
    <row r="143" spans="1:3" ht="12" customHeight="1">
      <c r="A143" s="444" t="str">
        <f>'KV_1.1.sz.mell.'!A143</f>
        <v>45</v>
      </c>
      <c r="B143" s="406" t="str">
        <f>'KV_1.1.sz.mell.'!B143</f>
        <v>Éven belüli lejáratú belföldi értékpapírok beváltása</v>
      </c>
      <c r="C143" s="181"/>
    </row>
    <row r="144" spans="1:3" ht="12" customHeight="1">
      <c r="A144" s="444" t="str">
        <f>'KV_1.1.sz.mell.'!A144</f>
        <v>46</v>
      </c>
      <c r="B144" s="406" t="str">
        <f>'KV_1.1.sz.mell.'!B144</f>
        <v>Belföldi kötvények beváltása</v>
      </c>
      <c r="C144" s="183"/>
    </row>
    <row r="145" spans="1:3" ht="12" customHeight="1" thickBot="1">
      <c r="A145" s="594">
        <f>'KV_1.1.sz.mell.'!A145</f>
        <v>47</v>
      </c>
      <c r="B145" s="456" t="str">
        <f>'KV_1.1.sz.mell.'!B145</f>
        <v>Éven túli lejáratú belföldi értékpapírok beváltása</v>
      </c>
      <c r="C145" s="300"/>
    </row>
    <row r="146" spans="1:3" ht="12" customHeight="1" thickBot="1">
      <c r="A146" s="449">
        <f>'KV_1.1.sz.mell.'!A146</f>
        <v>48</v>
      </c>
      <c r="B146" s="90" t="str">
        <f>'KV_1.1.sz.mell.'!B146</f>
        <v>Belföldi finanszírozás kiadásai (49+ … + 52)</v>
      </c>
      <c r="C146" s="214">
        <f>+C147+C148+C149+C150</f>
        <v>26821095</v>
      </c>
    </row>
    <row r="147" spans="1:3" ht="12" customHeight="1">
      <c r="A147" s="444">
        <f>'KV_1.1.sz.mell.'!A147</f>
        <v>49</v>
      </c>
      <c r="B147" s="406" t="str">
        <f>'KV_1.1.sz.mell.'!B147</f>
        <v>Államháztartáson belüli megelőlegezések folyósítása</v>
      </c>
      <c r="C147" s="181"/>
    </row>
    <row r="148" spans="1:3" ht="12" customHeight="1">
      <c r="A148" s="444" t="str">
        <f>'KV_1.1.sz.mell.'!A148</f>
        <v>50</v>
      </c>
      <c r="B148" s="406" t="str">
        <f>'KV_1.1.sz.mell.'!B148</f>
        <v>Államháztartáson belüli megelőlegezések visszafizetése</v>
      </c>
      <c r="C148" s="181">
        <v>26821095</v>
      </c>
    </row>
    <row r="149" spans="1:3" ht="12" customHeight="1">
      <c r="A149" s="444" t="str">
        <f>'KV_1.1.sz.mell.'!A149</f>
        <v>51</v>
      </c>
      <c r="B149" s="406" t="str">
        <f>'KV_1.1.sz.mell.'!B149</f>
        <v>Pénzeszközök lekötött betétként elhelyezése</v>
      </c>
      <c r="C149" s="183"/>
    </row>
    <row r="150" spans="1:3" ht="12" customHeight="1" thickBot="1">
      <c r="A150" s="445">
        <f>'KV_1.1.sz.mell.'!A150</f>
        <v>52</v>
      </c>
      <c r="B150" s="406" t="str">
        <f>'KV_1.1.sz.mell.'!B150</f>
        <v>Pénzügyi lízing kiadásai</v>
      </c>
      <c r="C150" s="300"/>
    </row>
    <row r="151" spans="1:3" ht="12" customHeight="1" thickBot="1">
      <c r="A151" s="449">
        <f>'KV_1.1.sz.mell.'!A151</f>
        <v>53</v>
      </c>
      <c r="B151" s="90" t="str">
        <f>'KV_1.1.sz.mell.'!B151</f>
        <v>Külföldi finanszírozás kiadásai (54+ … + 58)</v>
      </c>
      <c r="C151" s="217">
        <f>SUM(C152:C156)</f>
        <v>0</v>
      </c>
    </row>
    <row r="152" spans="1:3" ht="12" customHeight="1">
      <c r="A152" s="444">
        <f>'KV_1.1.sz.mell.'!A152</f>
        <v>54</v>
      </c>
      <c r="B152" s="406" t="str">
        <f>'KV_1.1.sz.mell.'!B152</f>
        <v>Forgatási célú külföldi értékpapírok vásárlása</v>
      </c>
      <c r="C152" s="181"/>
    </row>
    <row r="153" spans="1:3" ht="12" customHeight="1">
      <c r="A153" s="444">
        <f>'KV_1.1.sz.mell.'!A153</f>
        <v>55</v>
      </c>
      <c r="B153" s="406" t="str">
        <f>'KV_1.1.sz.mell.'!B153</f>
        <v>Befektetési célú külföldi értékpapírok vásárlása</v>
      </c>
      <c r="C153" s="181"/>
    </row>
    <row r="154" spans="1:3" ht="12" customHeight="1">
      <c r="A154" s="444" t="str">
        <f>'KV_1.1.sz.mell.'!A154</f>
        <v>56</v>
      </c>
      <c r="B154" s="406" t="str">
        <f>'KV_1.1.sz.mell.'!B154</f>
        <v>Külföldi értékpapírok beváltása</v>
      </c>
      <c r="C154" s="181"/>
    </row>
    <row r="155" spans="1:3" ht="12" customHeight="1">
      <c r="A155" s="444" t="str">
        <f>'KV_1.1.sz.mell.'!A155</f>
        <v>57</v>
      </c>
      <c r="B155" s="406" t="str">
        <f>'KV_1.1.sz.mell.'!B155</f>
        <v>Hitelek, kölcsönök törlesztése külföldi kormányoknak nemz. szervezeteknek</v>
      </c>
      <c r="C155" s="181"/>
    </row>
    <row r="156" spans="1:3" ht="12" customHeight="1" thickBot="1">
      <c r="A156" s="444" t="str">
        <f>'KV_1.1.sz.mell.'!A156</f>
        <v>58</v>
      </c>
      <c r="B156" s="406" t="str">
        <f>'KV_1.1.sz.mell.'!B156</f>
        <v>Hitelek, kölcsönök törlesztése külföldi pénzintézeteknek</v>
      </c>
      <c r="C156" s="181"/>
    </row>
    <row r="157" spans="1:3" ht="12" customHeight="1" thickBot="1">
      <c r="A157" s="449">
        <f>'KV_1.1.sz.mell.'!A157</f>
        <v>59</v>
      </c>
      <c r="B157" s="90" t="str">
        <f>'KV_1.1.sz.mell.'!B157</f>
        <v>Adóssághoz nem kapcsolódó származékos ügyletek</v>
      </c>
      <c r="C157" s="299"/>
    </row>
    <row r="158" spans="1:3" ht="12" customHeight="1" thickBot="1">
      <c r="A158" s="449">
        <f>'KV_1.1.sz.mell.'!A158</f>
        <v>60</v>
      </c>
      <c r="B158" s="90" t="str">
        <f>'KV_1.1.sz.mell.'!B158</f>
        <v>Váltókiadások</v>
      </c>
      <c r="C158" s="299"/>
    </row>
    <row r="159" spans="1:9" ht="15" customHeight="1" thickBot="1">
      <c r="A159" s="449">
        <f>'KV_1.1.sz.mell.'!A159</f>
        <v>61</v>
      </c>
      <c r="B159" s="90" t="str">
        <f>'KV_1.1.sz.mell.'!B159</f>
        <v>FINANSZÍROZÁSI KIADÁSOK ÖSSZESEN: (37+41+48+53+59+60)</v>
      </c>
      <c r="C159" s="340">
        <f>+C135+C139+C146+C151+C157+C158</f>
        <v>26821095</v>
      </c>
      <c r="F159" s="268"/>
      <c r="G159" s="269"/>
      <c r="H159" s="269"/>
      <c r="I159" s="269"/>
    </row>
    <row r="160" spans="1:3" s="266" customFormat="1" ht="17.25" customHeight="1" thickBot="1">
      <c r="A160" s="449">
        <f>'KV_1.1.sz.mell.'!A160</f>
        <v>62</v>
      </c>
      <c r="B160" s="90" t="str">
        <f>'KV_1.1.sz.mell.'!B160</f>
        <v>KIADÁSOK ÖSSZESEN: (36.+61)</v>
      </c>
      <c r="C160" s="340">
        <f>+C134+C159</f>
        <v>1184355893</v>
      </c>
    </row>
    <row r="161" spans="1:3" ht="10.5" customHeight="1">
      <c r="A161" s="520"/>
      <c r="B161" s="515"/>
      <c r="C161" s="376">
        <f>C93-C160</f>
        <v>-215428788</v>
      </c>
    </row>
    <row r="162" spans="1:3" ht="15.75">
      <c r="A162" s="828" t="str">
        <f>'KV_1.1.sz.mell.'!A162</f>
        <v>KÖLTSÉGVETÉSI, FINANSZÍROZÁSI BEVÉTELEK ÉS KIADÁSOK EGYENLEGE</v>
      </c>
      <c r="B162" s="828"/>
      <c r="C162" s="828"/>
    </row>
    <row r="163" spans="1:3" ht="15" customHeight="1" thickBot="1">
      <c r="A163" s="827"/>
      <c r="B163" s="827"/>
      <c r="C163" s="524" t="str">
        <f>'KV_1.1.sz.mell.'!C163</f>
        <v>Forintban!</v>
      </c>
    </row>
    <row r="164" spans="1:4" ht="13.5" customHeight="1" thickBot="1">
      <c r="A164" s="447">
        <f>'KV_1.1.sz.mell.'!A164</f>
        <v>1</v>
      </c>
      <c r="B164" s="12" t="str">
        <f>'KV_1.1.sz.mell.'!B164</f>
        <v>Költségvetési hiány, többlet ( költségvetési bevételek 59. sor - költségvetési kiadások 36. sor) (+/-)</v>
      </c>
      <c r="C164" s="208">
        <f>+C68-C134</f>
        <v>-345057593</v>
      </c>
      <c r="D164" s="270"/>
    </row>
    <row r="165" spans="1:3" ht="27.75" customHeight="1" thickBot="1">
      <c r="A165" s="447">
        <f>'KV_1.1.sz.mell.'!A165</f>
        <v>2</v>
      </c>
      <c r="B165" s="12" t="str">
        <f>'KV_1.1.sz.mell.'!B165</f>
        <v>Finanszírozási bevételek, kiadások egyenlege (finanszírozási bevételek 83. sor - finanszírozási kiadások 61. sor)
 (+/-)</v>
      </c>
      <c r="C165" s="208">
        <f>C92-C159</f>
        <v>129628805</v>
      </c>
    </row>
  </sheetData>
  <sheetProtection/>
  <mergeCells count="10">
    <mergeCell ref="A163:B163"/>
    <mergeCell ref="B1:C1"/>
    <mergeCell ref="A6:C6"/>
    <mergeCell ref="A7:B7"/>
    <mergeCell ref="A95:C95"/>
    <mergeCell ref="A96:B96"/>
    <mergeCell ref="A162:C162"/>
    <mergeCell ref="A4:C4"/>
    <mergeCell ref="A3:C3"/>
    <mergeCell ref="A2:C2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8" max="2" man="1"/>
    <brk id="14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5"/>
  <sheetViews>
    <sheetView zoomScaleSheetLayoutView="100" workbookViewId="0" topLeftCell="A2">
      <selection activeCell="I37" sqref="I37"/>
    </sheetView>
  </sheetViews>
  <sheetFormatPr defaultColWidth="9.00390625" defaultRowHeight="12.75"/>
  <cols>
    <col min="1" max="1" width="6.125" style="252" customWidth="1"/>
    <col min="2" max="2" width="99.375" style="252" customWidth="1"/>
    <col min="3" max="3" width="21.625" style="253" customWidth="1"/>
    <col min="4" max="4" width="9.00390625" style="264" customWidth="1"/>
    <col min="5" max="16384" width="9.375" style="264" customWidth="1"/>
  </cols>
  <sheetData>
    <row r="1" spans="2:3" ht="18.75" customHeight="1" hidden="1">
      <c r="B1" s="832" t="str">
        <f>CONCATENATE("3. melléklet ",ALAPADATOK!A7," ",ALAPADATOK!B7," ",ALAPADATOK!C7," ",ALAPADATOK!D7," ",ALAPADATOK!E7," ",ALAPADATOK!F7," ",ALAPADATOK!G7," ",ALAPADATOK!H7)</f>
        <v>3. melléklet a … / 2023. ( … ) önkormányzati rendelethez</v>
      </c>
      <c r="C1" s="833"/>
    </row>
    <row r="2" spans="1:3" ht="21.75" customHeight="1">
      <c r="A2" s="834" t="str">
        <f>CONCATENATE(ALAPADATOK!A3)</f>
        <v>Bátaszék Város Önkormányzata</v>
      </c>
      <c r="B2" s="831"/>
      <c r="C2" s="831"/>
    </row>
    <row r="3" spans="1:3" ht="21.75" customHeight="1">
      <c r="A3" s="834" t="str">
        <f>'KV_1.2.sz.mell.'!A3</f>
        <v>2023. ÉVI KÖLTSÉGVETÉS</v>
      </c>
      <c r="B3" s="831"/>
      <c r="C3" s="831"/>
    </row>
    <row r="4" spans="1:3" ht="21.75" customHeight="1">
      <c r="A4" s="834" t="s">
        <v>328</v>
      </c>
      <c r="B4" s="831"/>
      <c r="C4" s="831"/>
    </row>
    <row r="5" spans="1:3" ht="21.75" customHeight="1">
      <c r="A5" s="528"/>
      <c r="B5" s="528"/>
      <c r="C5" s="529"/>
    </row>
    <row r="6" spans="1:3" ht="15" customHeight="1">
      <c r="A6" s="825" t="str">
        <f>'KV_1.1.sz.mell.'!A6</f>
        <v>B E V É T E L E K</v>
      </c>
      <c r="B6" s="825"/>
      <c r="C6" s="825"/>
    </row>
    <row r="7" spans="1:3" ht="15" customHeight="1" thickBot="1">
      <c r="A7" s="826"/>
      <c r="B7" s="826"/>
      <c r="C7" s="522" t="str">
        <f>'KV_1.1.sz.mell.'!C7</f>
        <v>Forintban!</v>
      </c>
    </row>
    <row r="8" spans="1:3" ht="24" customHeight="1" thickBot="1">
      <c r="A8" s="632" t="str">
        <f>'KV_1.1.sz.mell.'!A8</f>
        <v>Sor-
szám</v>
      </c>
      <c r="B8" s="375" t="str">
        <f>'KV_1.1.sz.mell.'!B8</f>
        <v>Bevételi jogcím</v>
      </c>
      <c r="C8" s="523" t="str">
        <f>'KV_1.1.sz.mell.'!C8</f>
        <v>2023. évi előirányzat</v>
      </c>
    </row>
    <row r="9" spans="1:3" s="265" customFormat="1" ht="12" customHeight="1" thickBot="1">
      <c r="A9" s="517"/>
      <c r="B9" s="337" t="str">
        <f>'KV_1.1.sz.mell.'!B9</f>
        <v>A</v>
      </c>
      <c r="C9" s="338" t="str">
        <f>'KV_1.1.sz.mell.'!C9</f>
        <v>B</v>
      </c>
    </row>
    <row r="10" spans="1:3" s="266" customFormat="1" ht="12" customHeight="1" thickBot="1">
      <c r="A10" s="447">
        <f>'KV_1.1.sz.mell.'!A10</f>
        <v>1</v>
      </c>
      <c r="B10" s="396" t="str">
        <f>'KV_1.1.sz.mell.'!B10</f>
        <v>Működési célú támogatások államháztartáson belülről (10+…+11+…+14)</v>
      </c>
      <c r="C10" s="208">
        <f>C19+C20+C21+C22+C23</f>
        <v>0</v>
      </c>
    </row>
    <row r="11" spans="1:3" s="266" customFormat="1" ht="12" customHeight="1">
      <c r="A11" s="444" t="str">
        <f>'KV_1.1.sz.mell.'!A11</f>
        <v>2</v>
      </c>
      <c r="B11" s="397" t="str">
        <f>'KV_1.1.sz.mell.'!B11</f>
        <v>Helyi önkormányzatok működésének általános támogatása</v>
      </c>
      <c r="C11" s="211"/>
    </row>
    <row r="12" spans="1:3" s="266" customFormat="1" ht="12" customHeight="1">
      <c r="A12" s="444" t="str">
        <f>'KV_1.1.sz.mell.'!A12</f>
        <v>3</v>
      </c>
      <c r="B12" s="397" t="str">
        <f>'KV_1.1.sz.mell.'!B12</f>
        <v>Önkormányzatok egyes köznevelési feladatainak támogatása</v>
      </c>
      <c r="C12" s="211"/>
    </row>
    <row r="13" spans="1:3" s="266" customFormat="1" ht="12" customHeight="1">
      <c r="A13" s="444" t="str">
        <f>'KV_1.1.sz.mell.'!A13</f>
        <v>4</v>
      </c>
      <c r="B13" s="397" t="str">
        <f>'KV_1.1.sz.mell.'!B13</f>
        <v>Önkormányzatok szociális és gyermekjóléti feladatainak támogatása</v>
      </c>
      <c r="C13" s="211"/>
    </row>
    <row r="14" spans="1:3" s="266" customFormat="1" ht="12" customHeight="1">
      <c r="A14" s="444" t="str">
        <f>'KV_1.1.sz.mell.'!A14</f>
        <v>5</v>
      </c>
      <c r="B14" s="397" t="str">
        <f>'KV_1.1.sz.mell.'!B14</f>
        <v>Önkormányzatok gyermekétkeztetési feladatainak támogatása</v>
      </c>
      <c r="C14" s="211"/>
    </row>
    <row r="15" spans="1:3" s="266" customFormat="1" ht="12" customHeight="1">
      <c r="A15" s="444" t="str">
        <f>'KV_1.1.sz.mell.'!A15</f>
        <v>6</v>
      </c>
      <c r="B15" s="397" t="str">
        <f>'KV_1.1.sz.mell.'!B15</f>
        <v>Önkormányzatok kulturális feladatainak támogatása</v>
      </c>
      <c r="C15" s="211"/>
    </row>
    <row r="16" spans="1:3" s="266" customFormat="1" ht="12" customHeight="1">
      <c r="A16" s="444" t="str">
        <f>'KV_1.1.sz.mell.'!A16</f>
        <v>7</v>
      </c>
      <c r="B16" s="397" t="str">
        <f>'KV_1.1.sz.mell.'!B16</f>
        <v>Működési célú kvi támogatások és kiegészítő támogatások </v>
      </c>
      <c r="C16" s="211"/>
    </row>
    <row r="17" spans="1:3" s="266" customFormat="1" ht="12" customHeight="1">
      <c r="A17" s="444" t="str">
        <f>'KV_1.1.sz.mell.'!A17</f>
        <v>8</v>
      </c>
      <c r="B17" s="397" t="str">
        <f>'KV_1.1.sz.mell.'!B17</f>
        <v>Elszámolásból származó bevételek</v>
      </c>
      <c r="C17" s="211"/>
    </row>
    <row r="18" spans="1:3" s="266" customFormat="1" ht="12" customHeight="1">
      <c r="A18" s="444" t="str">
        <f>'KV_1.1.sz.mell.'!A18</f>
        <v>9</v>
      </c>
      <c r="B18" s="397" t="str">
        <f>'KV_1.1.sz.mell.'!B18</f>
        <v>Elvonások és befizetések bevételei</v>
      </c>
      <c r="C18" s="634"/>
    </row>
    <row r="19" spans="1:3" s="266" customFormat="1" ht="12" customHeight="1">
      <c r="A19" s="444" t="str">
        <f>'KV_1.1.sz.mell.'!A19</f>
        <v>10</v>
      </c>
      <c r="B19" s="397" t="str">
        <f>'KV_1.1.sz.mell.'!B19</f>
        <v>Önkormányzat működési támogatásai (2+…+.9)</v>
      </c>
      <c r="C19" s="459">
        <f>SUM(C11:C18)</f>
        <v>0</v>
      </c>
    </row>
    <row r="20" spans="1:3" s="266" customFormat="1" ht="12" customHeight="1">
      <c r="A20" s="444" t="str">
        <f>'KV_1.1.sz.mell.'!A20</f>
        <v>11</v>
      </c>
      <c r="B20" s="397" t="str">
        <f>'KV_1.1.sz.mell.'!B20</f>
        <v>Működési célú garancia- és kezességvállalásból megtérülések </v>
      </c>
      <c r="C20" s="211"/>
    </row>
    <row r="21" spans="1:3" s="266" customFormat="1" ht="12" customHeight="1">
      <c r="A21" s="444" t="str">
        <f>'KV_1.1.sz.mell.'!A21</f>
        <v>12</v>
      </c>
      <c r="B21" s="397" t="str">
        <f>'KV_1.1.sz.mell.'!B21</f>
        <v>Működési célú visszatérítendő támogatások, kölcsönök visszatérülése </v>
      </c>
      <c r="C21" s="211"/>
    </row>
    <row r="22" spans="1:3" s="266" customFormat="1" ht="12" customHeight="1">
      <c r="A22" s="444" t="str">
        <f>'KV_1.1.sz.mell.'!A22</f>
        <v>13</v>
      </c>
      <c r="B22" s="397" t="str">
        <f>'KV_1.1.sz.mell.'!B22</f>
        <v>Működési célú visszatérítendő támogatások, kölcsönök igénybevétele</v>
      </c>
      <c r="C22" s="211"/>
    </row>
    <row r="23" spans="1:3" s="266" customFormat="1" ht="12" customHeight="1">
      <c r="A23" s="444" t="str">
        <f>'KV_1.1.sz.mell.'!A23</f>
        <v>14</v>
      </c>
      <c r="B23" s="397" t="str">
        <f>'KV_1.1.sz.mell.'!B23</f>
        <v>Egyéb működési célú támogatások bevételei </v>
      </c>
      <c r="C23" s="211"/>
    </row>
    <row r="24" spans="1:3" s="266" customFormat="1" ht="12" customHeight="1" thickBot="1">
      <c r="A24" s="444" t="str">
        <f>'KV_1.1.sz.mell.'!A24</f>
        <v>15</v>
      </c>
      <c r="B24" s="397" t="str">
        <f>'KV_1.1.sz.mell.'!B24</f>
        <v>14-ből EU-s támogatás</v>
      </c>
      <c r="C24" s="211"/>
    </row>
    <row r="25" spans="1:3" s="266" customFormat="1" ht="12" customHeight="1" thickBot="1">
      <c r="A25" s="447">
        <f>'KV_1.1.sz.mell.'!A25</f>
        <v>16</v>
      </c>
      <c r="B25" s="396" t="str">
        <f>'KV_1.1.sz.mell.'!B25</f>
        <v>Felhalmozási célú támogatások államháztartáson belülről (17+…+21)</v>
      </c>
      <c r="C25" s="208">
        <f>+C26+C27+C28+C29+C30</f>
        <v>54557620</v>
      </c>
    </row>
    <row r="26" spans="1:3" s="266" customFormat="1" ht="12" customHeight="1">
      <c r="A26" s="444" t="str">
        <f>'KV_1.1.sz.mell.'!A26</f>
        <v>17</v>
      </c>
      <c r="B26" s="397" t="str">
        <f>'KV_1.1.sz.mell.'!B26</f>
        <v>Felhalmozási célú önkormányzati támogatások</v>
      </c>
      <c r="C26" s="211"/>
    </row>
    <row r="27" spans="1:3" s="266" customFormat="1" ht="12" customHeight="1">
      <c r="A27" s="444" t="str">
        <f>'KV_1.1.sz.mell.'!A27</f>
        <v>18</v>
      </c>
      <c r="B27" s="397" t="str">
        <f>'KV_1.1.sz.mell.'!B27</f>
        <v>Felhalmozási célú garancia- és kezességvállalásból megtérülések</v>
      </c>
      <c r="C27" s="210"/>
    </row>
    <row r="28" spans="1:3" s="266" customFormat="1" ht="12" customHeight="1">
      <c r="A28" s="444" t="str">
        <f>'KV_1.1.sz.mell.'!A28</f>
        <v>19</v>
      </c>
      <c r="B28" s="397" t="str">
        <f>'KV_1.1.sz.mell.'!B28</f>
        <v>Felhalmozási célú visszatérítendő támogatások, kölcsönök visszatérülése</v>
      </c>
      <c r="C28" s="210"/>
    </row>
    <row r="29" spans="1:3" s="266" customFormat="1" ht="12" customHeight="1">
      <c r="A29" s="444" t="str">
        <f>'KV_1.1.sz.mell.'!A29</f>
        <v>20</v>
      </c>
      <c r="B29" s="397" t="str">
        <f>'KV_1.1.sz.mell.'!B29</f>
        <v>Felhalmozási célú visszatérítendő támogatások, kölcsönök igénybevétele</v>
      </c>
      <c r="C29" s="210"/>
    </row>
    <row r="30" spans="1:3" s="266" customFormat="1" ht="12" customHeight="1">
      <c r="A30" s="444" t="str">
        <f>'KV_1.1.sz.mell.'!A30</f>
        <v>21</v>
      </c>
      <c r="B30" s="397" t="str">
        <f>'KV_1.1.sz.mell.'!B30</f>
        <v>Egyéb felhalmozási célú támogatások bevételei</v>
      </c>
      <c r="C30" s="210">
        <v>54557620</v>
      </c>
    </row>
    <row r="31" spans="1:3" s="334" customFormat="1" ht="12" customHeight="1" thickBot="1">
      <c r="A31" s="444" t="str">
        <f>'KV_1.1.sz.mell.'!A31</f>
        <v>22</v>
      </c>
      <c r="B31" s="397" t="str">
        <f>'KV_1.1.sz.mell.'!B31</f>
        <v>   21-ből EU-s támogatás</v>
      </c>
      <c r="C31" s="210">
        <v>54557620</v>
      </c>
    </row>
    <row r="32" spans="1:3" s="266" customFormat="1" ht="12" customHeight="1" thickBot="1">
      <c r="A32" s="447">
        <f>'KV_1.1.sz.mell.'!A32</f>
        <v>23</v>
      </c>
      <c r="B32" s="396" t="str">
        <f>'KV_1.1.sz.mell.'!B32</f>
        <v>Közhatalmi bevételek (24+…+30)</v>
      </c>
      <c r="C32" s="214">
        <f>SUM(C33:C39)</f>
        <v>369000000</v>
      </c>
    </row>
    <row r="33" spans="1:3" s="266" customFormat="1" ht="12" customHeight="1">
      <c r="A33" s="444" t="str">
        <f>'KV_1.1.sz.mell.'!A33</f>
        <v>24</v>
      </c>
      <c r="B33" s="397" t="str">
        <f>'KV_1.1.sz.mell.'!B33</f>
        <v>Építményadó</v>
      </c>
      <c r="C33" s="211"/>
    </row>
    <row r="34" spans="1:3" s="266" customFormat="1" ht="12" customHeight="1">
      <c r="A34" s="444" t="str">
        <f>'KV_1.1.sz.mell.'!A34</f>
        <v>25</v>
      </c>
      <c r="B34" s="397" t="str">
        <f>'KV_1.1.sz.mell.'!B34</f>
        <v>Magánszemélyek kommunális adója</v>
      </c>
      <c r="C34" s="210">
        <v>32000000</v>
      </c>
    </row>
    <row r="35" spans="1:3" s="266" customFormat="1" ht="12" customHeight="1">
      <c r="A35" s="444" t="str">
        <f>'KV_1.1.sz.mell.'!A35</f>
        <v>26</v>
      </c>
      <c r="B35" s="397" t="str">
        <f>'KV_1.1.sz.mell.'!B35</f>
        <v>Iparűzési adó</v>
      </c>
      <c r="C35" s="210">
        <v>335000000</v>
      </c>
    </row>
    <row r="36" spans="1:3" s="266" customFormat="1" ht="12" customHeight="1">
      <c r="A36" s="444" t="str">
        <f>'KV_1.1.sz.mell.'!A36</f>
        <v>27</v>
      </c>
      <c r="B36" s="397" t="str">
        <f>'KV_1.1.sz.mell.'!B36</f>
        <v>Talajterhelési díj </v>
      </c>
      <c r="C36" s="210">
        <v>500000</v>
      </c>
    </row>
    <row r="37" spans="1:3" s="266" customFormat="1" ht="12" customHeight="1">
      <c r="A37" s="444" t="str">
        <f>'KV_1.1.sz.mell.'!A37</f>
        <v>28</v>
      </c>
      <c r="B37" s="397" t="str">
        <f>'KV_1.1.sz.mell.'!B37</f>
        <v>Gépjárműadó</v>
      </c>
      <c r="C37" s="210"/>
    </row>
    <row r="38" spans="1:3" s="266" customFormat="1" ht="12" customHeight="1">
      <c r="A38" s="444" t="str">
        <f>'KV_1.1.sz.mell.'!A38</f>
        <v>29</v>
      </c>
      <c r="B38" s="397" t="str">
        <f>'KV_1.1.sz.mell.'!B38</f>
        <v>Telekadó</v>
      </c>
      <c r="C38" s="210"/>
    </row>
    <row r="39" spans="1:3" s="266" customFormat="1" ht="12" customHeight="1" thickBot="1">
      <c r="A39" s="444" t="str">
        <f>'KV_1.1.sz.mell.'!A39</f>
        <v>30</v>
      </c>
      <c r="B39" s="397" t="str">
        <f>'KV_1.1.sz.mell.'!B39</f>
        <v>Egyéb közhatalmi bevétel</v>
      </c>
      <c r="C39" s="212">
        <v>1500000</v>
      </c>
    </row>
    <row r="40" spans="1:3" s="266" customFormat="1" ht="12" customHeight="1" thickBot="1">
      <c r="A40" s="447">
        <f>'KV_1.1.sz.mell.'!A40</f>
        <v>31</v>
      </c>
      <c r="B40" s="396" t="str">
        <f>'KV_1.1.sz.mell.'!B40</f>
        <v>Működési bevételek (32+…+ 42)</v>
      </c>
      <c r="C40" s="208">
        <f>SUM(C41:C51)</f>
        <v>16672000</v>
      </c>
    </row>
    <row r="41" spans="1:3" s="266" customFormat="1" ht="12" customHeight="1">
      <c r="A41" s="444" t="str">
        <f>'KV_1.1.sz.mell.'!A41</f>
        <v>32</v>
      </c>
      <c r="B41" s="397" t="str">
        <f>'KV_1.1.sz.mell.'!B41</f>
        <v>Készletértékesítés ellenértéke</v>
      </c>
      <c r="C41" s="211"/>
    </row>
    <row r="42" spans="1:3" s="266" customFormat="1" ht="12" customHeight="1">
      <c r="A42" s="444" t="str">
        <f>'KV_1.1.sz.mell.'!A42</f>
        <v>33</v>
      </c>
      <c r="B42" s="397" t="str">
        <f>'KV_1.1.sz.mell.'!B42</f>
        <v>Szolgáltatások ellenértéke</v>
      </c>
      <c r="C42" s="210"/>
    </row>
    <row r="43" spans="1:3" s="266" customFormat="1" ht="12" customHeight="1">
      <c r="A43" s="444" t="str">
        <f>'KV_1.1.sz.mell.'!A43</f>
        <v>34</v>
      </c>
      <c r="B43" s="397" t="str">
        <f>'KV_1.1.sz.mell.'!B43</f>
        <v>Közvetített szolgáltatások értéke</v>
      </c>
      <c r="C43" s="210">
        <v>1671000</v>
      </c>
    </row>
    <row r="44" spans="1:3" s="266" customFormat="1" ht="12" customHeight="1">
      <c r="A44" s="444" t="str">
        <f>'KV_1.1.sz.mell.'!A44</f>
        <v>35</v>
      </c>
      <c r="B44" s="397" t="str">
        <f>'KV_1.1.sz.mell.'!B44</f>
        <v>Tulajdonosi bevételek</v>
      </c>
      <c r="C44" s="210">
        <v>11800000</v>
      </c>
    </row>
    <row r="45" spans="1:3" s="266" customFormat="1" ht="12" customHeight="1">
      <c r="A45" s="444" t="str">
        <f>'KV_1.1.sz.mell.'!A45</f>
        <v>36</v>
      </c>
      <c r="B45" s="397" t="str">
        <f>'KV_1.1.sz.mell.'!B45</f>
        <v>Ellátási díjak</v>
      </c>
      <c r="C45" s="210"/>
    </row>
    <row r="46" spans="1:3" s="266" customFormat="1" ht="12" customHeight="1">
      <c r="A46" s="444" t="str">
        <f>'KV_1.1.sz.mell.'!A46</f>
        <v>37</v>
      </c>
      <c r="B46" s="397" t="str">
        <f>'KV_1.1.sz.mell.'!B46</f>
        <v>Kiszámlázott általános forgalmi adó </v>
      </c>
      <c r="C46" s="210">
        <v>1751000</v>
      </c>
    </row>
    <row r="47" spans="1:3" s="266" customFormat="1" ht="12" customHeight="1">
      <c r="A47" s="444" t="str">
        <f>'KV_1.1.sz.mell.'!A47</f>
        <v>38</v>
      </c>
      <c r="B47" s="397" t="str">
        <f>'KV_1.1.sz.mell.'!B47</f>
        <v>Általános forgalmi adó visszatérítése</v>
      </c>
      <c r="C47" s="210">
        <v>1450000</v>
      </c>
    </row>
    <row r="48" spans="1:3" s="266" customFormat="1" ht="12" customHeight="1">
      <c r="A48" s="444" t="str">
        <f>'KV_1.1.sz.mell.'!A48</f>
        <v>39</v>
      </c>
      <c r="B48" s="397" t="str">
        <f>'KV_1.1.sz.mell.'!B48</f>
        <v>Kamatbevételek és más nyereségjellegű bevételek</v>
      </c>
      <c r="C48" s="210"/>
    </row>
    <row r="49" spans="1:3" s="266" customFormat="1" ht="12" customHeight="1">
      <c r="A49" s="444" t="str">
        <f>'KV_1.1.sz.mell.'!A49</f>
        <v>40</v>
      </c>
      <c r="B49" s="397" t="str">
        <f>'KV_1.1.sz.mell.'!B49</f>
        <v>Egyéb pénzügyi műveletek bevételei</v>
      </c>
      <c r="C49" s="213"/>
    </row>
    <row r="50" spans="1:3" s="266" customFormat="1" ht="12" customHeight="1">
      <c r="A50" s="444" t="str">
        <f>'KV_1.1.sz.mell.'!A50</f>
        <v>41</v>
      </c>
      <c r="B50" s="397" t="str">
        <f>'KV_1.1.sz.mell.'!B50</f>
        <v>Biztosító által fizetett kártérítés</v>
      </c>
      <c r="C50" s="261"/>
    </row>
    <row r="51" spans="1:3" s="266" customFormat="1" ht="12" customHeight="1" thickBot="1">
      <c r="A51" s="444" t="str">
        <f>'KV_1.1.sz.mell.'!A51</f>
        <v>42</v>
      </c>
      <c r="B51" s="397" t="str">
        <f>'KV_1.1.sz.mell.'!B51</f>
        <v>Egyéb működési bevételek</v>
      </c>
      <c r="C51" s="261"/>
    </row>
    <row r="52" spans="1:3" s="266" customFormat="1" ht="12" customHeight="1" thickBot="1">
      <c r="A52" s="447">
        <f>'KV_1.1.sz.mell.'!A52</f>
        <v>43</v>
      </c>
      <c r="B52" s="396" t="str">
        <f>'KV_1.1.sz.mell.'!B52</f>
        <v>Felhalmozási bevételek (44+…+48)</v>
      </c>
      <c r="C52" s="208">
        <f>SUM(C53:C57)</f>
        <v>69000000</v>
      </c>
    </row>
    <row r="53" spans="1:3" s="266" customFormat="1" ht="12" customHeight="1">
      <c r="A53" s="444" t="str">
        <f>'KV_1.1.sz.mell.'!A53</f>
        <v>44</v>
      </c>
      <c r="B53" s="397" t="str">
        <f>'KV_1.1.sz.mell.'!B53</f>
        <v>Immateriális javak értékesítése</v>
      </c>
      <c r="C53" s="281"/>
    </row>
    <row r="54" spans="1:3" s="266" customFormat="1" ht="12" customHeight="1">
      <c r="A54" s="444" t="str">
        <f>'KV_1.1.sz.mell.'!A54</f>
        <v>45</v>
      </c>
      <c r="B54" s="397" t="str">
        <f>'KV_1.1.sz.mell.'!B54</f>
        <v>Ingatlanok értékesítése</v>
      </c>
      <c r="C54" s="808">
        <v>69000000</v>
      </c>
    </row>
    <row r="55" spans="1:3" s="266" customFormat="1" ht="12" customHeight="1">
      <c r="A55" s="444" t="str">
        <f>'KV_1.1.sz.mell.'!A55</f>
        <v>46</v>
      </c>
      <c r="B55" s="397" t="str">
        <f>'KV_1.1.sz.mell.'!B55</f>
        <v>Egyéb tárgyi eszközök értékesítése</v>
      </c>
      <c r="C55" s="213"/>
    </row>
    <row r="56" spans="1:3" s="266" customFormat="1" ht="12" customHeight="1">
      <c r="A56" s="444" t="str">
        <f>'KV_1.1.sz.mell.'!A56</f>
        <v>47</v>
      </c>
      <c r="B56" s="397" t="str">
        <f>'KV_1.1.sz.mell.'!B56</f>
        <v>Részesedések értékesítése</v>
      </c>
      <c r="C56" s="213"/>
    </row>
    <row r="57" spans="1:3" s="266" customFormat="1" ht="12" customHeight="1" thickBot="1">
      <c r="A57" s="444" t="str">
        <f>'KV_1.1.sz.mell.'!A57</f>
        <v>48</v>
      </c>
      <c r="B57" s="397" t="str">
        <f>'KV_1.1.sz.mell.'!B57</f>
        <v>Részesedések megszűnéséhez kapcsolódó bevételek</v>
      </c>
      <c r="C57" s="261"/>
    </row>
    <row r="58" spans="1:3" s="266" customFormat="1" ht="12" customHeight="1" thickBot="1">
      <c r="A58" s="447">
        <f>'KV_1.1.sz.mell.'!A58</f>
        <v>49</v>
      </c>
      <c r="B58" s="396" t="str">
        <f>'KV_1.1.sz.mell.'!B58</f>
        <v>Működési célú átvett pénzeszközök (50+ … + 52)</v>
      </c>
      <c r="C58" s="208">
        <f>SUM(C59:C61)</f>
        <v>0</v>
      </c>
    </row>
    <row r="59" spans="1:3" s="266" customFormat="1" ht="12" customHeight="1">
      <c r="A59" s="444" t="str">
        <f>'KV_1.1.sz.mell.'!A59</f>
        <v>50</v>
      </c>
      <c r="B59" s="397" t="str">
        <f>'KV_1.1.sz.mell.'!B59</f>
        <v>Működési célú garancia- és kezességvállalásból megtérülések ÁH-n kívülről</v>
      </c>
      <c r="C59" s="211"/>
    </row>
    <row r="60" spans="1:3" s="266" customFormat="1" ht="12" customHeight="1">
      <c r="A60" s="444" t="str">
        <f>'KV_1.1.sz.mell.'!A60</f>
        <v>51</v>
      </c>
      <c r="B60" s="397" t="str">
        <f>'KV_1.1.sz.mell.'!B60</f>
        <v>Működési célú visszatérítendő támogatások, kölcsönök visszatér. ÁH-n kívülről</v>
      </c>
      <c r="C60" s="210"/>
    </row>
    <row r="61" spans="1:3" s="266" customFormat="1" ht="12" customHeight="1">
      <c r="A61" s="444" t="str">
        <f>'KV_1.1.sz.mell.'!A61</f>
        <v>52</v>
      </c>
      <c r="B61" s="397" t="str">
        <f>'KV_1.1.sz.mell.'!B61</f>
        <v>Egyéb működési célú átvett pénzeszköz</v>
      </c>
      <c r="C61" s="210"/>
    </row>
    <row r="62" spans="1:3" s="266" customFormat="1" ht="12" customHeight="1" thickBot="1">
      <c r="A62" s="444" t="str">
        <f>'KV_1.1.sz.mell.'!A62</f>
        <v>53</v>
      </c>
      <c r="B62" s="397" t="str">
        <f>'KV_1.1.sz.mell.'!B62</f>
        <v>  52-ből EU-s támogatás (közvetlen)</v>
      </c>
      <c r="C62" s="212"/>
    </row>
    <row r="63" spans="1:3" s="266" customFormat="1" ht="12" customHeight="1" thickBot="1">
      <c r="A63" s="447">
        <f>'KV_1.1.sz.mell.'!A63</f>
        <v>54</v>
      </c>
      <c r="B63" s="399" t="str">
        <f>'KV_1.1.sz.mell.'!B63</f>
        <v>Felhalmozási célú átvett pénzeszközök (55+…+57)</v>
      </c>
      <c r="C63" s="208">
        <f>SUM(C64:C66)</f>
        <v>0</v>
      </c>
    </row>
    <row r="64" spans="1:3" s="266" customFormat="1" ht="12" customHeight="1">
      <c r="A64" s="444" t="str">
        <f>'KV_1.1.sz.mell.'!A64</f>
        <v>55</v>
      </c>
      <c r="B64" s="397" t="str">
        <f>'KV_1.1.sz.mell.'!B64</f>
        <v>Felhalm. célú garancia- és kezességvállalásból megtérülések ÁH-n kívülről</v>
      </c>
      <c r="C64" s="213"/>
    </row>
    <row r="65" spans="1:3" s="266" customFormat="1" ht="12" customHeight="1">
      <c r="A65" s="444" t="str">
        <f>'KV_1.1.sz.mell.'!A65</f>
        <v>56</v>
      </c>
      <c r="B65" s="397" t="str">
        <f>'KV_1.1.sz.mell.'!B65</f>
        <v>Felhalm. célú visszatérítendő támogatások, kölcsönök visszatér. ÁH-n kívülről</v>
      </c>
      <c r="C65" s="213"/>
    </row>
    <row r="66" spans="1:3" s="266" customFormat="1" ht="12" customHeight="1">
      <c r="A66" s="444" t="str">
        <f>'KV_1.1.sz.mell.'!A66</f>
        <v>57</v>
      </c>
      <c r="B66" s="397" t="str">
        <f>'KV_1.1.sz.mell.'!B66</f>
        <v>Egyéb felhalmozási célú átvett pénzeszköz</v>
      </c>
      <c r="C66" s="213"/>
    </row>
    <row r="67" spans="1:3" s="266" customFormat="1" ht="12" customHeight="1" thickBot="1">
      <c r="A67" s="444" t="str">
        <f>'KV_1.1.sz.mell.'!A67</f>
        <v>58</v>
      </c>
      <c r="B67" s="397" t="str">
        <f>'KV_1.1.sz.mell.'!B67</f>
        <v>  57-ből EU-s támogatás (közvetlen)</v>
      </c>
      <c r="C67" s="213"/>
    </row>
    <row r="68" spans="1:3" s="266" customFormat="1" ht="12" customHeight="1" thickBot="1">
      <c r="A68" s="447">
        <f>'KV_1.1.sz.mell.'!A68</f>
        <v>59</v>
      </c>
      <c r="B68" s="396" t="str">
        <f>'KV_1.1.sz.mell.'!B68</f>
        <v>KÖLTSÉGVETÉSI BEVÉTELEK ÖSSZESEN: (1+16+23+31+43+49+54)</v>
      </c>
      <c r="C68" s="214">
        <f>+C10+C25+C32+C40+C52+C58+C63</f>
        <v>509229620</v>
      </c>
    </row>
    <row r="69" spans="1:3" s="266" customFormat="1" ht="12" customHeight="1" thickBot="1">
      <c r="A69" s="448">
        <f>'KV_1.1.sz.mell.'!A69</f>
        <v>60</v>
      </c>
      <c r="B69" s="396" t="str">
        <f>'KV_1.1.sz.mell.'!B69</f>
        <v>Hitel-, kölcsönfelvétel államháztartáson kívülről  (61+…+63)</v>
      </c>
      <c r="C69" s="208">
        <f>SUM(C70:C72)</f>
        <v>0</v>
      </c>
    </row>
    <row r="70" spans="1:3" s="266" customFormat="1" ht="12" customHeight="1">
      <c r="A70" s="444" t="str">
        <f>'KV_1.1.sz.mell.'!A70</f>
        <v>61</v>
      </c>
      <c r="B70" s="397" t="str">
        <f>'KV_1.1.sz.mell.'!B70</f>
        <v>Hosszú lejáratú  hitelek, kölcsönök felvétele</v>
      </c>
      <c r="C70" s="213"/>
    </row>
    <row r="71" spans="1:3" s="266" customFormat="1" ht="12" customHeight="1">
      <c r="A71" s="444" t="str">
        <f>'KV_1.1.sz.mell.'!A71</f>
        <v>62</v>
      </c>
      <c r="B71" s="397" t="str">
        <f>'KV_1.1.sz.mell.'!B71</f>
        <v>Likviditási célú  hitelek, kölcsönök felvétele pénzügyi vállalkozástól</v>
      </c>
      <c r="C71" s="213"/>
    </row>
    <row r="72" spans="1:3" s="266" customFormat="1" ht="12" customHeight="1" thickBot="1">
      <c r="A72" s="444" t="str">
        <f>'KV_1.1.sz.mell.'!A72</f>
        <v>63</v>
      </c>
      <c r="B72" s="397" t="str">
        <f>'KV_1.1.sz.mell.'!B72</f>
        <v>Rövid lejáratú  hitelek, kölcsönök felvétele pénzügyi vállalkozástól</v>
      </c>
      <c r="C72" s="213"/>
    </row>
    <row r="73" spans="1:3" s="266" customFormat="1" ht="12" customHeight="1" thickBot="1">
      <c r="A73" s="448">
        <f>'KV_1.1.sz.mell.'!A73</f>
        <v>64</v>
      </c>
      <c r="B73" s="399" t="str">
        <f>'KV_1.1.sz.mell.'!B73</f>
        <v>Belföldi értékpapírok bevételei (65 +…+ 68)</v>
      </c>
      <c r="C73" s="208">
        <f>SUM(C74:C77)</f>
        <v>0</v>
      </c>
    </row>
    <row r="74" spans="1:3" s="266" customFormat="1" ht="12" customHeight="1">
      <c r="A74" s="444" t="str">
        <f>'KV_1.1.sz.mell.'!A74</f>
        <v>65</v>
      </c>
      <c r="B74" s="397" t="str">
        <f>'KV_1.1.sz.mell.'!B74</f>
        <v>Forgatási célú belföldi értékpapírok beváltása,  értékesítése</v>
      </c>
      <c r="C74" s="213"/>
    </row>
    <row r="75" spans="1:3" s="266" customFormat="1" ht="12" customHeight="1">
      <c r="A75" s="444" t="str">
        <f>'KV_1.1.sz.mell.'!A75</f>
        <v>66</v>
      </c>
      <c r="B75" s="397" t="str">
        <f>'KV_1.1.sz.mell.'!B75</f>
        <v>Éven belüli lejáratú belföldi értékpapírok kibocsátása</v>
      </c>
      <c r="C75" s="213"/>
    </row>
    <row r="76" spans="1:3" s="266" customFormat="1" ht="12" customHeight="1">
      <c r="A76" s="444" t="str">
        <f>'KV_1.1.sz.mell.'!A76</f>
        <v>67</v>
      </c>
      <c r="B76" s="397" t="str">
        <f>'KV_1.1.sz.mell.'!B76</f>
        <v>Befektetési célú belföldi értékpapírok beváltása,  értékesítése</v>
      </c>
      <c r="C76" s="261"/>
    </row>
    <row r="77" spans="1:3" s="266" customFormat="1" ht="12" customHeight="1" thickBot="1">
      <c r="A77" s="444" t="str">
        <f>'KV_1.1.sz.mell.'!A77</f>
        <v>68</v>
      </c>
      <c r="B77" s="397" t="str">
        <f>'KV_1.1.sz.mell.'!B77</f>
        <v>Éven túli lejáratú belföldi értékpapírok kibocsátása</v>
      </c>
      <c r="C77" s="339"/>
    </row>
    <row r="78" spans="1:3" s="266" customFormat="1" ht="12" customHeight="1" thickBot="1">
      <c r="A78" s="448">
        <f>'KV_1.1.sz.mell.'!A78</f>
        <v>69</v>
      </c>
      <c r="B78" s="399" t="str">
        <f>'KV_1.1.sz.mell.'!B78</f>
        <v>Maradvány igénybevétele (70 + 71)</v>
      </c>
      <c r="C78" s="208">
        <f>SUM(C79:C80)</f>
        <v>76776519</v>
      </c>
    </row>
    <row r="79" spans="1:3" s="266" customFormat="1" ht="12" customHeight="1">
      <c r="A79" s="444" t="str">
        <f>'KV_1.1.sz.mell.'!A79</f>
        <v>70</v>
      </c>
      <c r="B79" s="500" t="str">
        <f>'KV_1.1.sz.mell.'!B79</f>
        <v>Előző év költségvetési maradványának igénybevétele</v>
      </c>
      <c r="C79" s="409">
        <v>76776519</v>
      </c>
    </row>
    <row r="80" spans="1:3" s="266" customFormat="1" ht="12" customHeight="1" thickBot="1">
      <c r="A80" s="444" t="str">
        <f>'KV_1.1.sz.mell.'!A80</f>
        <v>71</v>
      </c>
      <c r="B80" s="397" t="str">
        <f>'KV_1.1.sz.mell.'!B80</f>
        <v>Előző év vállalkozási maradványának igénybevétele</v>
      </c>
      <c r="C80" s="339"/>
    </row>
    <row r="81" spans="1:3" s="266" customFormat="1" ht="12" customHeight="1" thickBot="1">
      <c r="A81" s="448">
        <f>'KV_1.1.sz.mell.'!A81</f>
        <v>72</v>
      </c>
      <c r="B81" s="399" t="str">
        <f>'KV_1.1.sz.mell.'!B81</f>
        <v>Belföldi finanszírozás bevételei (73 + … + 75)</v>
      </c>
      <c r="C81" s="208">
        <f>SUM(C82:C84)</f>
        <v>0</v>
      </c>
    </row>
    <row r="82" spans="1:3" s="266" customFormat="1" ht="12" customHeight="1">
      <c r="A82" s="444" t="str">
        <f>'KV_1.1.sz.mell.'!A82</f>
        <v>73</v>
      </c>
      <c r="B82" s="397" t="str">
        <f>'KV_1.1.sz.mell.'!B82</f>
        <v>Államháztartáson belüli megelőlegezések</v>
      </c>
      <c r="C82" s="213"/>
    </row>
    <row r="83" spans="1:3" s="266" customFormat="1" ht="12" customHeight="1">
      <c r="A83" s="444" t="str">
        <f>'KV_1.1.sz.mell.'!A83</f>
        <v>74</v>
      </c>
      <c r="B83" s="397" t="str">
        <f>'KV_1.1.sz.mell.'!B83</f>
        <v>Államháztartáson belüli megelőlegezések törlesztése</v>
      </c>
      <c r="C83" s="213"/>
    </row>
    <row r="84" spans="1:3" s="266" customFormat="1" ht="12" customHeight="1" thickBot="1">
      <c r="A84" s="445" t="str">
        <f>'KV_1.1.sz.mell.'!A84</f>
        <v>75</v>
      </c>
      <c r="B84" s="397" t="str">
        <f>'KV_1.1.sz.mell.'!B84</f>
        <v>Lekötött betétek megszüntetése</v>
      </c>
      <c r="C84" s="339"/>
    </row>
    <row r="85" spans="1:3" s="266" customFormat="1" ht="12" customHeight="1" thickBot="1">
      <c r="A85" s="449" t="str">
        <f>'KV_1.1.sz.mell.'!A85</f>
        <v>76</v>
      </c>
      <c r="B85" s="399" t="str">
        <f>'KV_1.1.sz.mell.'!B85</f>
        <v>Külföldi finanszírozás bevételei (77+…+80)</v>
      </c>
      <c r="C85" s="208">
        <f>SUM(C86:C89)</f>
        <v>0</v>
      </c>
    </row>
    <row r="86" spans="1:3" s="266" customFormat="1" ht="12" customHeight="1">
      <c r="A86" s="444" t="str">
        <f>'KV_1.1.sz.mell.'!A86</f>
        <v>77</v>
      </c>
      <c r="B86" s="397" t="str">
        <f>'KV_1.1.sz.mell.'!B86</f>
        <v>Forgatási célú külföldi értékpapírok beváltása,  értékesítése</v>
      </c>
      <c r="C86" s="213"/>
    </row>
    <row r="87" spans="1:3" s="266" customFormat="1" ht="12" customHeight="1">
      <c r="A87" s="444" t="str">
        <f>'KV_1.1.sz.mell.'!A87</f>
        <v>78</v>
      </c>
      <c r="B87" s="397" t="str">
        <f>'KV_1.1.sz.mell.'!B87</f>
        <v>Befektetési célú külföldi értékpapírok beváltása,  értékesítése</v>
      </c>
      <c r="C87" s="213"/>
    </row>
    <row r="88" spans="1:12" s="266" customFormat="1" ht="12" customHeight="1">
      <c r="A88" s="444" t="str">
        <f>'KV_1.1.sz.mell.'!A88</f>
        <v>79</v>
      </c>
      <c r="B88" s="397" t="str">
        <f>'KV_1.1.sz.mell.'!B88</f>
        <v>Külföldi értékpapírok kibocsátása</v>
      </c>
      <c r="C88" s="213"/>
      <c r="L88" s="630"/>
    </row>
    <row r="89" spans="1:3" s="266" customFormat="1" ht="12" customHeight="1" thickBot="1">
      <c r="A89" s="445" t="str">
        <f>'KV_1.1.sz.mell.'!A89</f>
        <v>80</v>
      </c>
      <c r="B89" s="397" t="str">
        <f>'KV_1.1.sz.mell.'!B89</f>
        <v>Külföldi hitelek, kölcsönök felvétele</v>
      </c>
      <c r="C89" s="213"/>
    </row>
    <row r="90" spans="1:3" s="266" customFormat="1" ht="12" customHeight="1" thickBot="1">
      <c r="A90" s="449" t="str">
        <f>'KV_1.1.sz.mell.'!A90</f>
        <v>81</v>
      </c>
      <c r="B90" s="399" t="str">
        <f>'KV_1.1.sz.mell.'!B90</f>
        <v>Váltóbevételek</v>
      </c>
      <c r="C90" s="282"/>
    </row>
    <row r="91" spans="1:3" s="266" customFormat="1" ht="13.5" customHeight="1" thickBot="1">
      <c r="A91" s="450" t="str">
        <f>'KV_1.1.sz.mell.'!A91</f>
        <v>82</v>
      </c>
      <c r="B91" s="399" t="str">
        <f>'KV_1.1.sz.mell.'!B91</f>
        <v>Adóssághoz nem kapcsolódó származékos ügyletek bevételei</v>
      </c>
      <c r="C91" s="282"/>
    </row>
    <row r="92" spans="1:3" s="266" customFormat="1" ht="15.75" customHeight="1" thickBot="1">
      <c r="A92" s="449" t="str">
        <f>'KV_1.1.sz.mell.'!A92</f>
        <v>83</v>
      </c>
      <c r="B92" s="399" t="str">
        <f>'KV_1.1.sz.mell.'!B92</f>
        <v>FINANSZÍROZÁSI BEVÉTELEK ÖSSZESEN: (60 + 64+69+72+76+81+82)</v>
      </c>
      <c r="C92" s="214">
        <f>+C69+C73+C78+C81+C85+C90+C91</f>
        <v>76776519</v>
      </c>
    </row>
    <row r="93" spans="1:3" s="266" customFormat="1" ht="16.5" customHeight="1" thickBot="1">
      <c r="A93" s="460" t="str">
        <f>'KV_1.1.sz.mell.'!A93</f>
        <v>84</v>
      </c>
      <c r="B93" s="399" t="str">
        <f>'KV_1.1.sz.mell.'!B93</f>
        <v>KÖLTSÉGVETÉSI ÉS FINANSZÍROZÁSI BEVÉTELEK ÖSSZESEN: (59+83)</v>
      </c>
      <c r="C93" s="214">
        <f>+C68+C92</f>
        <v>586006139</v>
      </c>
    </row>
    <row r="94" spans="1:3" s="266" customFormat="1" ht="10.5" customHeight="1">
      <c r="A94" s="518"/>
      <c r="B94" s="5"/>
      <c r="C94" s="215"/>
    </row>
    <row r="95" spans="1:3" ht="16.5" customHeight="1">
      <c r="A95" s="829" t="str">
        <f>'KV_1.1.sz.mell.'!A95</f>
        <v>K I A D Á S O K</v>
      </c>
      <c r="B95" s="829"/>
      <c r="C95" s="829"/>
    </row>
    <row r="96" spans="1:3" s="267" customFormat="1" ht="16.5" customHeight="1" thickBot="1">
      <c r="A96" s="827"/>
      <c r="B96" s="827"/>
      <c r="C96" s="524" t="str">
        <f>'KV_1.1.sz.mell.'!C96</f>
        <v>Forintban!</v>
      </c>
    </row>
    <row r="97" spans="1:3" ht="27.75" customHeight="1" thickBot="1">
      <c r="A97" s="631" t="str">
        <f>'KV_1.1.sz.mell.'!A97</f>
        <v>Sor-
szám</v>
      </c>
      <c r="B97" s="335" t="str">
        <f>'KV_1.1.sz.mell.'!B97</f>
        <v>Kiadási jogcímek</v>
      </c>
      <c r="C97" s="525" t="str">
        <f>'KV_1.1.sz.mell.'!C97</f>
        <v>2023. évi előirányzat</v>
      </c>
    </row>
    <row r="98" spans="1:3" s="265" customFormat="1" ht="12" customHeight="1" thickBot="1">
      <c r="A98" s="519"/>
      <c r="B98" s="335" t="str">
        <f>'KV_1.1.sz.mell.'!B98</f>
        <v>A</v>
      </c>
      <c r="C98" s="336" t="str">
        <f>'KV_1.1.sz.mell.'!C98</f>
        <v>B</v>
      </c>
    </row>
    <row r="99" spans="1:3" ht="12" customHeight="1" thickBot="1">
      <c r="A99" s="449">
        <f>'KV_1.1.sz.mell.'!A99</f>
        <v>1</v>
      </c>
      <c r="B99" s="13" t="str">
        <f>'KV_1.1.sz.mell.'!B99</f>
        <v>   Működési költségvetés kiadásai (2+…+6)</v>
      </c>
      <c r="C99" s="207">
        <f>C100+C101+C102+C103+C104</f>
        <v>222886885</v>
      </c>
    </row>
    <row r="100" spans="1:3" ht="12" customHeight="1">
      <c r="A100" s="446" t="str">
        <f>'KV_1.1.sz.mell.'!A100</f>
        <v>2</v>
      </c>
      <c r="B100" s="402" t="str">
        <f>'KV_1.1.sz.mell.'!B100</f>
        <v>Személyi  juttatások</v>
      </c>
      <c r="C100" s="209">
        <v>2000000</v>
      </c>
    </row>
    <row r="101" spans="1:3" ht="12" customHeight="1">
      <c r="A101" s="444" t="str">
        <f>'KV_1.1.sz.mell.'!A101</f>
        <v>3</v>
      </c>
      <c r="B101" s="406" t="str">
        <f>'KV_1.1.sz.mell.'!B101</f>
        <v>Munkaadókat terhelő járulékok és szociális hozzájárulási adó</v>
      </c>
      <c r="C101" s="210">
        <v>600000</v>
      </c>
    </row>
    <row r="102" spans="1:3" ht="12" customHeight="1">
      <c r="A102" s="444" t="str">
        <f>'KV_1.1.sz.mell.'!A102</f>
        <v>4</v>
      </c>
      <c r="B102" s="403" t="str">
        <f>'KV_1.1.sz.mell.'!B102</f>
        <v>Dologi  kiadások</v>
      </c>
      <c r="C102" s="212">
        <v>52286000</v>
      </c>
    </row>
    <row r="103" spans="1:3" ht="12" customHeight="1">
      <c r="A103" s="444" t="str">
        <f>'KV_1.1.sz.mell.'!A103</f>
        <v>5</v>
      </c>
      <c r="B103" s="403" t="str">
        <f>'KV_1.1.sz.mell.'!B103</f>
        <v>Ellátottak pénzbeli juttatásai</v>
      </c>
      <c r="C103" s="212">
        <v>5010000</v>
      </c>
    </row>
    <row r="104" spans="1:3" ht="12" customHeight="1">
      <c r="A104" s="444" t="str">
        <f>'KV_1.1.sz.mell.'!A104</f>
        <v>6</v>
      </c>
      <c r="B104" s="403" t="str">
        <f>'KV_1.1.sz.mell.'!B104</f>
        <v>Egyéb működési célú kiadások</v>
      </c>
      <c r="C104" s="212">
        <f>SUM(C105:C117)</f>
        <v>162990885</v>
      </c>
    </row>
    <row r="105" spans="1:3" ht="12" customHeight="1">
      <c r="A105" s="444" t="str">
        <f>'KV_1.1.sz.mell.'!A105</f>
        <v>7</v>
      </c>
      <c r="B105" s="403" t="str">
        <f>'KV_1.1.sz.mell.'!B105</f>
        <v>   - a 6-ból:       - Előző évi elszámolásból származó befizetések</v>
      </c>
      <c r="C105" s="212"/>
    </row>
    <row r="106" spans="1:3" ht="12" customHeight="1">
      <c r="A106" s="444" t="str">
        <f>'KV_1.1.sz.mell.'!A106</f>
        <v>8</v>
      </c>
      <c r="B106" s="403" t="str">
        <f>'KV_1.1.sz.mell.'!B106</f>
        <v>   - Törvényi előíráson alapuló befizetések</v>
      </c>
      <c r="C106" s="212"/>
    </row>
    <row r="107" spans="1:3" ht="12" customHeight="1">
      <c r="A107" s="444" t="str">
        <f>'KV_1.1.sz.mell.'!A107</f>
        <v>9</v>
      </c>
      <c r="B107" s="403" t="str">
        <f>'KV_1.1.sz.mell.'!B107</f>
        <v>   - Egyéb elvonások, befizetések</v>
      </c>
      <c r="C107" s="212"/>
    </row>
    <row r="108" spans="1:3" ht="12" customHeight="1">
      <c r="A108" s="444" t="str">
        <f>'KV_1.1.sz.mell.'!A108</f>
        <v>10</v>
      </c>
      <c r="B108" s="403" t="str">
        <f>'KV_1.1.sz.mell.'!B108</f>
        <v>   - Garancia- és kezességvállalásból kifizetés ÁH-n belülre</v>
      </c>
      <c r="C108" s="212"/>
    </row>
    <row r="109" spans="1:3" ht="12" customHeight="1">
      <c r="A109" s="444" t="str">
        <f>'KV_1.1.sz.mell.'!A109</f>
        <v>11</v>
      </c>
      <c r="B109" s="403" t="str">
        <f>'KV_1.1.sz.mell.'!B109</f>
        <v>   -Visszatérítendő támogatások, kölcsönök nyújtása ÁH-n belülre</v>
      </c>
      <c r="C109" s="212"/>
    </row>
    <row r="110" spans="1:3" ht="12" customHeight="1">
      <c r="A110" s="444" t="str">
        <f>'KV_1.1.sz.mell.'!A110</f>
        <v>12</v>
      </c>
      <c r="B110" s="403" t="str">
        <f>'KV_1.1.sz.mell.'!B110</f>
        <v>   - Visszatérítendő támogatások, kölcsönök törlesztése ÁH-n belülre</v>
      </c>
      <c r="C110" s="212"/>
    </row>
    <row r="111" spans="1:3" ht="12" customHeight="1">
      <c r="A111" s="444" t="str">
        <f>'KV_1.1.sz.mell.'!A111</f>
        <v>13</v>
      </c>
      <c r="B111" s="403" t="str">
        <f>'KV_1.1.sz.mell.'!B111</f>
        <v>   - Egyéb működési célú támogatások ÁH-n belülre</v>
      </c>
      <c r="C111" s="212">
        <v>30987921</v>
      </c>
    </row>
    <row r="112" spans="1:3" ht="12" customHeight="1">
      <c r="A112" s="444" t="str">
        <f>'KV_1.1.sz.mell.'!A112</f>
        <v>14</v>
      </c>
      <c r="B112" s="403" t="str">
        <f>'KV_1.1.sz.mell.'!B112</f>
        <v>   - Garancia és kezességvállalásból kifizetés ÁH-n kívülre</v>
      </c>
      <c r="C112" s="212"/>
    </row>
    <row r="113" spans="1:3" ht="12" customHeight="1">
      <c r="A113" s="444" t="str">
        <f>'KV_1.1.sz.mell.'!A113</f>
        <v>15</v>
      </c>
      <c r="B113" s="403" t="str">
        <f>'KV_1.1.sz.mell.'!B113</f>
        <v>   - Visszatérítendő támogatások, kölcsönök nyújtása ÁH-n kívülre</v>
      </c>
      <c r="C113" s="212"/>
    </row>
    <row r="114" spans="1:3" ht="12" customHeight="1">
      <c r="A114" s="444" t="str">
        <f>'KV_1.1.sz.mell.'!A114</f>
        <v>16</v>
      </c>
      <c r="B114" s="403" t="str">
        <f>'KV_1.1.sz.mell.'!B114</f>
        <v>   - Árkiegészítések, ártámogatások</v>
      </c>
      <c r="C114" s="212"/>
    </row>
    <row r="115" spans="1:3" ht="12" customHeight="1">
      <c r="A115" s="444" t="str">
        <f>'KV_1.1.sz.mell.'!A115</f>
        <v>17</v>
      </c>
      <c r="B115" s="403" t="str">
        <f>'KV_1.1.sz.mell.'!B115</f>
        <v>   - Kamattámogatások</v>
      </c>
      <c r="C115" s="212"/>
    </row>
    <row r="116" spans="1:3" ht="12" customHeight="1">
      <c r="A116" s="444" t="str">
        <f>'KV_1.1.sz.mell.'!A116</f>
        <v>18</v>
      </c>
      <c r="B116" s="403" t="str">
        <f>'KV_1.1.sz.mell.'!B116</f>
        <v>   - Egyéb működési célú támogatások államháztartáson kívülre</v>
      </c>
      <c r="C116" s="212">
        <v>108380000</v>
      </c>
    </row>
    <row r="117" spans="1:3" ht="12" customHeight="1">
      <c r="A117" s="444" t="str">
        <f>'KV_1.1.sz.mell.'!A117</f>
        <v>19</v>
      </c>
      <c r="B117" s="403" t="str">
        <f>'KV_1.1.sz.mell.'!B117</f>
        <v>   - Tartalékok</v>
      </c>
      <c r="C117" s="210">
        <f>SUM(C118:C119)</f>
        <v>23622964</v>
      </c>
    </row>
    <row r="118" spans="1:3" ht="12" customHeight="1">
      <c r="A118" s="444" t="str">
        <f>'KV_1.1.sz.mell.'!A118</f>
        <v>20</v>
      </c>
      <c r="B118" s="403" t="str">
        <f>'KV_1.1.sz.mell.'!B118</f>
        <v>         - a 19-ből:             - Általános tartalék</v>
      </c>
      <c r="C118" s="210">
        <v>5000000</v>
      </c>
    </row>
    <row r="119" spans="1:3" ht="12" customHeight="1" thickBot="1">
      <c r="A119" s="445" t="str">
        <f>'KV_1.1.sz.mell.'!A119</f>
        <v>21</v>
      </c>
      <c r="B119" s="456" t="str">
        <f>'KV_1.1.sz.mell.'!B119</f>
        <v>                                       - Céltartalék</v>
      </c>
      <c r="C119" s="216">
        <v>18622964</v>
      </c>
    </row>
    <row r="120" spans="1:3" ht="12" customHeight="1" thickBot="1">
      <c r="A120" s="449" t="str">
        <f>'KV_1.1.sz.mell.'!A120</f>
        <v>22</v>
      </c>
      <c r="B120" s="297" t="str">
        <f>'KV_1.1.sz.mell.'!B120</f>
        <v>   Felhalmozási költségvetés kiadásai (23+25+27)</v>
      </c>
      <c r="C120" s="298">
        <f>+C121+C123+C125</f>
        <v>146454497</v>
      </c>
    </row>
    <row r="121" spans="1:3" ht="12" customHeight="1">
      <c r="A121" s="444">
        <f>'KV_1.1.sz.mell.'!A121</f>
        <v>23</v>
      </c>
      <c r="B121" s="403" t="str">
        <f>'KV_1.1.sz.mell.'!B121</f>
        <v>Beruházások</v>
      </c>
      <c r="C121" s="211">
        <v>146454497</v>
      </c>
    </row>
    <row r="122" spans="1:3" ht="12" customHeight="1">
      <c r="A122" s="444" t="str">
        <f>'KV_1.1.sz.mell.'!A122</f>
        <v>24</v>
      </c>
      <c r="B122" s="403" t="str">
        <f>'KV_1.1.sz.mell.'!B122</f>
        <v>23-ból EU-s forrásból megvalósuló beruházás</v>
      </c>
      <c r="C122" s="211">
        <v>93201481</v>
      </c>
    </row>
    <row r="123" spans="1:3" ht="12" customHeight="1">
      <c r="A123" s="444" t="str">
        <f>'KV_1.1.sz.mell.'!A123</f>
        <v>25</v>
      </c>
      <c r="B123" s="403" t="str">
        <f>'KV_1.1.sz.mell.'!B123</f>
        <v>Felújítások</v>
      </c>
      <c r="C123" s="210"/>
    </row>
    <row r="124" spans="1:3" ht="12" customHeight="1">
      <c r="A124" s="444" t="str">
        <f>'KV_1.1.sz.mell.'!A124</f>
        <v>26</v>
      </c>
      <c r="B124" s="403" t="str">
        <f>'KV_1.1.sz.mell.'!B124</f>
        <v>25-ből EU-s forrásból megvalósuló felújítás</v>
      </c>
      <c r="C124" s="181"/>
    </row>
    <row r="125" spans="1:3" ht="12" customHeight="1">
      <c r="A125" s="444" t="str">
        <f>'KV_1.1.sz.mell.'!A125</f>
        <v>27</v>
      </c>
      <c r="B125" s="403" t="str">
        <f>'KV_1.1.sz.mell.'!B125</f>
        <v>Egyéb felhalmozási célú kiadások</v>
      </c>
      <c r="C125" s="181"/>
    </row>
    <row r="126" spans="1:3" ht="12" customHeight="1">
      <c r="A126" s="444" t="str">
        <f>'KV_1.1.sz.mell.'!A126</f>
        <v>28</v>
      </c>
      <c r="B126" s="403" t="str">
        <f>'KV_1.1.sz.mell.'!B126</f>
        <v>27-ből           - Garancia- és kezességvállalásból kifizetés ÁH-n belülre</v>
      </c>
      <c r="C126" s="181"/>
    </row>
    <row r="127" spans="1:3" ht="12" customHeight="1">
      <c r="A127" s="444" t="str">
        <f>'KV_1.1.sz.mell.'!A127</f>
        <v>29</v>
      </c>
      <c r="B127" s="403" t="str">
        <f>'KV_1.1.sz.mell.'!B127</f>
        <v>   - Visszatérítendő támogatások, kölcsönök nyújtása ÁH-n belülre</v>
      </c>
      <c r="C127" s="181"/>
    </row>
    <row r="128" spans="1:3" ht="15.75">
      <c r="A128" s="444" t="str">
        <f>'KV_1.1.sz.mell.'!A128</f>
        <v>30</v>
      </c>
      <c r="B128" s="403" t="str">
        <f>'KV_1.1.sz.mell.'!B128</f>
        <v>   - Visszatérítendő támogatások, kölcsönök törlesztése ÁH-n belülre</v>
      </c>
      <c r="C128" s="181"/>
    </row>
    <row r="129" spans="1:3" ht="12" customHeight="1">
      <c r="A129" s="444" t="str">
        <f>'KV_1.1.sz.mell.'!A129</f>
        <v>31</v>
      </c>
      <c r="B129" s="403" t="str">
        <f>'KV_1.1.sz.mell.'!B129</f>
        <v>   - Egyéb felhalmozási célú támogatások ÁH-n belülre</v>
      </c>
      <c r="C129" s="181"/>
    </row>
    <row r="130" spans="1:3" ht="12" customHeight="1">
      <c r="A130" s="444" t="str">
        <f>'KV_1.1.sz.mell.'!A130</f>
        <v>32</v>
      </c>
      <c r="B130" s="403" t="str">
        <f>'KV_1.1.sz.mell.'!B130</f>
        <v>   - Garancia- és kezességvállalásból kifizetés ÁH-n kívülre</v>
      </c>
      <c r="C130" s="181"/>
    </row>
    <row r="131" spans="1:3" ht="12" customHeight="1">
      <c r="A131" s="444" t="str">
        <f>'KV_1.1.sz.mell.'!A131</f>
        <v>33</v>
      </c>
      <c r="B131" s="403" t="str">
        <f>'KV_1.1.sz.mell.'!B131</f>
        <v>   - Visszatérítendő támogatások, kölcsönök nyújtása ÁH-n kívülre</v>
      </c>
      <c r="C131" s="181"/>
    </row>
    <row r="132" spans="1:3" ht="12" customHeight="1">
      <c r="A132" s="444" t="str">
        <f>'KV_1.1.sz.mell.'!A132</f>
        <v>34</v>
      </c>
      <c r="B132" s="403" t="str">
        <f>'KV_1.1.sz.mell.'!B132</f>
        <v>   - Lakástámogatás</v>
      </c>
      <c r="C132" s="181"/>
    </row>
    <row r="133" spans="1:3" ht="16.5" thickBot="1">
      <c r="A133" s="444">
        <f>'KV_1.1.sz.mell.'!A133</f>
        <v>35</v>
      </c>
      <c r="B133" s="403" t="str">
        <f>'KV_1.1.sz.mell.'!B133</f>
        <v>   - Egyéb felhalmozási célú támogatások államháztartáson kívülre</v>
      </c>
      <c r="C133" s="183"/>
    </row>
    <row r="134" spans="1:3" ht="12" customHeight="1" thickBot="1">
      <c r="A134" s="449">
        <f>'KV_1.1.sz.mell.'!A134</f>
        <v>36</v>
      </c>
      <c r="B134" s="90" t="str">
        <f>'KV_1.1.sz.mell.'!B134</f>
        <v>KÖLTSÉGVETÉSI KIADÁSOK ÖSSZESEN (1+22)</v>
      </c>
      <c r="C134" s="208">
        <f>+C99+C120</f>
        <v>369341382</v>
      </c>
    </row>
    <row r="135" spans="1:3" ht="12" customHeight="1" thickBot="1">
      <c r="A135" s="449">
        <f>'KV_1.1.sz.mell.'!A135</f>
        <v>37</v>
      </c>
      <c r="B135" s="90" t="str">
        <f>'KV_1.1.sz.mell.'!B135</f>
        <v>Hitel-, kölcsöntörlesztés államháztartáson kívülre (38+ … + 40)</v>
      </c>
      <c r="C135" s="208">
        <f>+C136+C137+C138</f>
        <v>0</v>
      </c>
    </row>
    <row r="136" spans="1:3" ht="12" customHeight="1">
      <c r="A136" s="444">
        <f>'KV_1.1.sz.mell.'!A136</f>
        <v>38</v>
      </c>
      <c r="B136" s="405" t="str">
        <f>'KV_1.1.sz.mell.'!B136</f>
        <v>Hosszú lejáratú hitelek, kölcsönök törlesztése pénzügyi vállalkozásnak</v>
      </c>
      <c r="C136" s="181"/>
    </row>
    <row r="137" spans="1:3" ht="12" customHeight="1">
      <c r="A137" s="444" t="str">
        <f>'KV_1.1.sz.mell.'!A137</f>
        <v>39</v>
      </c>
      <c r="B137" s="405" t="str">
        <f>'KV_1.1.sz.mell.'!B137</f>
        <v>Likviditási célú hitelek, kölcsönök törlesztése pénzügyi vállalkozásnak</v>
      </c>
      <c r="C137" s="181"/>
    </row>
    <row r="138" spans="1:3" ht="12" customHeight="1" thickBot="1">
      <c r="A138" s="444" t="str">
        <f>'KV_1.1.sz.mell.'!A138</f>
        <v>40</v>
      </c>
      <c r="B138" s="405" t="str">
        <f>'KV_1.1.sz.mell.'!B138</f>
        <v>Rövid lejáratú hitelek, kölcsönök törlesztése pénzügyi vállalkozásnak</v>
      </c>
      <c r="C138" s="181"/>
    </row>
    <row r="139" spans="1:3" ht="12" customHeight="1" thickBot="1">
      <c r="A139" s="449">
        <f>'KV_1.1.sz.mell.'!A139</f>
        <v>41</v>
      </c>
      <c r="B139" s="90" t="str">
        <f>'KV_1.1.sz.mell.'!B139</f>
        <v>Belföldi értékpapírok kiadásai (42+ … + 47)</v>
      </c>
      <c r="C139" s="208">
        <f>SUM(C140:C145)</f>
        <v>0</v>
      </c>
    </row>
    <row r="140" spans="1:3" ht="12" customHeight="1">
      <c r="A140" s="444">
        <f>'KV_1.1.sz.mell.'!A140</f>
        <v>42</v>
      </c>
      <c r="B140" s="406" t="str">
        <f>'KV_1.1.sz.mell.'!B140</f>
        <v>Forgatási célú belföldi értékpapírok vásárlása</v>
      </c>
      <c r="C140" s="181"/>
    </row>
    <row r="141" spans="1:3" ht="12" customHeight="1">
      <c r="A141" s="444">
        <f>'KV_1.1.sz.mell.'!A141</f>
        <v>43</v>
      </c>
      <c r="B141" s="406" t="str">
        <f>'KV_1.1.sz.mell.'!B141</f>
        <v>Befektetési célú belföldi értékpapírok vásárlása</v>
      </c>
      <c r="C141" s="181"/>
    </row>
    <row r="142" spans="1:3" ht="12" customHeight="1">
      <c r="A142" s="444" t="str">
        <f>'KV_1.1.sz.mell.'!A142</f>
        <v>44</v>
      </c>
      <c r="B142" s="406" t="str">
        <f>'KV_1.1.sz.mell.'!B142</f>
        <v>Kincstárjegyek beváltása</v>
      </c>
      <c r="C142" s="181"/>
    </row>
    <row r="143" spans="1:3" ht="12" customHeight="1">
      <c r="A143" s="444" t="str">
        <f>'KV_1.1.sz.mell.'!A143</f>
        <v>45</v>
      </c>
      <c r="B143" s="406" t="str">
        <f>'KV_1.1.sz.mell.'!B143</f>
        <v>Éven belüli lejáratú belföldi értékpapírok beváltása</v>
      </c>
      <c r="C143" s="181"/>
    </row>
    <row r="144" spans="1:3" ht="12" customHeight="1">
      <c r="A144" s="444" t="str">
        <f>'KV_1.1.sz.mell.'!A144</f>
        <v>46</v>
      </c>
      <c r="B144" s="406" t="str">
        <f>'KV_1.1.sz.mell.'!B144</f>
        <v>Belföldi kötvények beváltása</v>
      </c>
      <c r="C144" s="183"/>
    </row>
    <row r="145" spans="1:3" ht="12" customHeight="1" thickBot="1">
      <c r="A145" s="594">
        <f>'KV_1.1.sz.mell.'!A145</f>
        <v>47</v>
      </c>
      <c r="B145" s="456" t="str">
        <f>'KV_1.1.sz.mell.'!B145</f>
        <v>Éven túli lejáratú belföldi értékpapírok beváltása</v>
      </c>
      <c r="C145" s="300"/>
    </row>
    <row r="146" spans="1:3" ht="12" customHeight="1" thickBot="1">
      <c r="A146" s="449">
        <f>'KV_1.1.sz.mell.'!A146</f>
        <v>48</v>
      </c>
      <c r="B146" s="90" t="str">
        <f>'KV_1.1.sz.mell.'!B146</f>
        <v>Belföldi finanszírozás kiadásai (49+ … + 52)</v>
      </c>
      <c r="C146" s="214">
        <f>+C147+C148+C149+C150</f>
        <v>1235969</v>
      </c>
    </row>
    <row r="147" spans="1:3" ht="12" customHeight="1">
      <c r="A147" s="444">
        <f>'KV_1.1.sz.mell.'!A147</f>
        <v>49</v>
      </c>
      <c r="B147" s="406" t="str">
        <f>'KV_1.1.sz.mell.'!B147</f>
        <v>Államháztartáson belüli megelőlegezések folyósítása</v>
      </c>
      <c r="C147" s="181"/>
    </row>
    <row r="148" spans="1:3" ht="12" customHeight="1">
      <c r="A148" s="444" t="str">
        <f>'KV_1.1.sz.mell.'!A148</f>
        <v>50</v>
      </c>
      <c r="B148" s="406" t="str">
        <f>'KV_1.1.sz.mell.'!B148</f>
        <v>Államháztartáson belüli megelőlegezések visszafizetése</v>
      </c>
      <c r="C148" s="181"/>
    </row>
    <row r="149" spans="1:3" ht="12" customHeight="1">
      <c r="A149" s="444" t="str">
        <f>'KV_1.1.sz.mell.'!A149</f>
        <v>51</v>
      </c>
      <c r="B149" s="406" t="str">
        <f>'KV_1.1.sz.mell.'!B149</f>
        <v>Pénzeszközök lekötött betétként elhelyezése</v>
      </c>
      <c r="C149" s="183"/>
    </row>
    <row r="150" spans="1:3" ht="12" customHeight="1" thickBot="1">
      <c r="A150" s="445">
        <f>'KV_1.1.sz.mell.'!A150</f>
        <v>52</v>
      </c>
      <c r="B150" s="406" t="str">
        <f>'KV_1.1.sz.mell.'!B150</f>
        <v>Pénzügyi lízing kiadásai</v>
      </c>
      <c r="C150" s="300">
        <v>1235969</v>
      </c>
    </row>
    <row r="151" spans="1:3" ht="12" customHeight="1" thickBot="1">
      <c r="A151" s="449">
        <f>'KV_1.1.sz.mell.'!A151</f>
        <v>53</v>
      </c>
      <c r="B151" s="90" t="str">
        <f>'KV_1.1.sz.mell.'!B151</f>
        <v>Külföldi finanszírozás kiadásai (54+ … + 58)</v>
      </c>
      <c r="C151" s="217">
        <f>SUM(C152:C156)</f>
        <v>0</v>
      </c>
    </row>
    <row r="152" spans="1:3" ht="12" customHeight="1">
      <c r="A152" s="444">
        <f>'KV_1.1.sz.mell.'!A152</f>
        <v>54</v>
      </c>
      <c r="B152" s="406" t="str">
        <f>'KV_1.1.sz.mell.'!B152</f>
        <v>Forgatási célú külföldi értékpapírok vásárlása</v>
      </c>
      <c r="C152" s="181"/>
    </row>
    <row r="153" spans="1:3" ht="12" customHeight="1">
      <c r="A153" s="444">
        <f>'KV_1.1.sz.mell.'!A153</f>
        <v>55</v>
      </c>
      <c r="B153" s="406" t="str">
        <f>'KV_1.1.sz.mell.'!B153</f>
        <v>Befektetési célú külföldi értékpapírok vásárlása</v>
      </c>
      <c r="C153" s="181"/>
    </row>
    <row r="154" spans="1:3" ht="12" customHeight="1">
      <c r="A154" s="444" t="str">
        <f>'KV_1.1.sz.mell.'!A154</f>
        <v>56</v>
      </c>
      <c r="B154" s="406" t="str">
        <f>'KV_1.1.sz.mell.'!B154</f>
        <v>Külföldi értékpapírok beváltása</v>
      </c>
      <c r="C154" s="181"/>
    </row>
    <row r="155" spans="1:3" ht="12" customHeight="1">
      <c r="A155" s="444" t="str">
        <f>'KV_1.1.sz.mell.'!A155</f>
        <v>57</v>
      </c>
      <c r="B155" s="406" t="str">
        <f>'KV_1.1.sz.mell.'!B155</f>
        <v>Hitelek, kölcsönök törlesztése külföldi kormányoknak nemz. szervezeteknek</v>
      </c>
      <c r="C155" s="181"/>
    </row>
    <row r="156" spans="1:3" ht="12" customHeight="1" thickBot="1">
      <c r="A156" s="444" t="str">
        <f>'KV_1.1.sz.mell.'!A156</f>
        <v>58</v>
      </c>
      <c r="B156" s="406" t="str">
        <f>'KV_1.1.sz.mell.'!B156</f>
        <v>Hitelek, kölcsönök törlesztése külföldi pénzintézeteknek</v>
      </c>
      <c r="C156" s="181"/>
    </row>
    <row r="157" spans="1:3" ht="12" customHeight="1" thickBot="1">
      <c r="A157" s="449">
        <f>'KV_1.1.sz.mell.'!A157</f>
        <v>59</v>
      </c>
      <c r="B157" s="90" t="str">
        <f>'KV_1.1.sz.mell.'!B157</f>
        <v>Adóssághoz nem kapcsolódó származékos ügyletek</v>
      </c>
      <c r="C157" s="299"/>
    </row>
    <row r="158" spans="1:3" ht="12" customHeight="1" thickBot="1">
      <c r="A158" s="449">
        <f>'KV_1.1.sz.mell.'!A158</f>
        <v>60</v>
      </c>
      <c r="B158" s="90" t="str">
        <f>'KV_1.1.sz.mell.'!B158</f>
        <v>Váltókiadások</v>
      </c>
      <c r="C158" s="299"/>
    </row>
    <row r="159" spans="1:9" ht="15" customHeight="1" thickBot="1">
      <c r="A159" s="449">
        <f>'KV_1.1.sz.mell.'!A159</f>
        <v>61</v>
      </c>
      <c r="B159" s="90" t="str">
        <f>'KV_1.1.sz.mell.'!B159</f>
        <v>FINANSZÍROZÁSI KIADÁSOK ÖSSZESEN: (37+41+48+53+59+60)</v>
      </c>
      <c r="C159" s="340">
        <f>+C135+C139+C146+C151+C157+C158</f>
        <v>1235969</v>
      </c>
      <c r="F159" s="268"/>
      <c r="G159" s="269"/>
      <c r="H159" s="269"/>
      <c r="I159" s="269"/>
    </row>
    <row r="160" spans="1:3" s="266" customFormat="1" ht="17.25" customHeight="1" thickBot="1">
      <c r="A160" s="449">
        <f>'KV_1.1.sz.mell.'!A160</f>
        <v>62</v>
      </c>
      <c r="B160" s="90" t="str">
        <f>'KV_1.1.sz.mell.'!B160</f>
        <v>KIADÁSOK ÖSSZESEN: (36.+61)</v>
      </c>
      <c r="C160" s="340">
        <f>+C134+C159</f>
        <v>370577351</v>
      </c>
    </row>
    <row r="161" spans="1:3" ht="10.5" customHeight="1">
      <c r="A161" s="520"/>
      <c r="B161" s="515"/>
      <c r="C161" s="376">
        <f>C93-C160</f>
        <v>215428788</v>
      </c>
    </row>
    <row r="162" spans="1:3" ht="15.75">
      <c r="A162" s="828" t="str">
        <f>'KV_1.1.sz.mell.'!A162</f>
        <v>KÖLTSÉGVETÉSI, FINANSZÍROZÁSI BEVÉTELEK ÉS KIADÁSOK EGYENLEGE</v>
      </c>
      <c r="B162" s="828"/>
      <c r="C162" s="828"/>
    </row>
    <row r="163" spans="1:3" ht="15" customHeight="1" thickBot="1">
      <c r="A163" s="827"/>
      <c r="B163" s="827"/>
      <c r="C163" s="524" t="str">
        <f>'KV_1.1.sz.mell.'!C163</f>
        <v>Forintban!</v>
      </c>
    </row>
    <row r="164" spans="1:4" ht="13.5" customHeight="1" thickBot="1">
      <c r="A164" s="447">
        <f>'KV_1.1.sz.mell.'!A164</f>
        <v>1</v>
      </c>
      <c r="B164" s="12" t="str">
        <f>'KV_1.1.sz.mell.'!B164</f>
        <v>Költségvetési hiány, többlet ( költségvetési bevételek 59. sor - költségvetési kiadások 36. sor) (+/-)</v>
      </c>
      <c r="C164" s="208">
        <f>+C68-C134</f>
        <v>139888238</v>
      </c>
      <c r="D164" s="270"/>
    </row>
    <row r="165" spans="1:3" ht="27.75" customHeight="1" thickBot="1">
      <c r="A165" s="447">
        <f>'KV_1.1.sz.mell.'!A165</f>
        <v>2</v>
      </c>
      <c r="B165" s="12" t="str">
        <f>'KV_1.1.sz.mell.'!B165</f>
        <v>Finanszírozási bevételek, kiadások egyenlege (finanszírozási bevételek 83. sor - finanszírozási kiadások 61. sor)
 (+/-)</v>
      </c>
      <c r="C165" s="208">
        <f>C92-C159</f>
        <v>75540550</v>
      </c>
    </row>
  </sheetData>
  <sheetProtection/>
  <mergeCells count="10">
    <mergeCell ref="A163:B163"/>
    <mergeCell ref="B1:C1"/>
    <mergeCell ref="A6:C6"/>
    <mergeCell ref="A7:B7"/>
    <mergeCell ref="A95:C95"/>
    <mergeCell ref="A96:B96"/>
    <mergeCell ref="A162:C162"/>
    <mergeCell ref="A2:C2"/>
    <mergeCell ref="A3:C3"/>
    <mergeCell ref="A4:C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8" max="2" man="1"/>
    <brk id="14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5"/>
  <sheetViews>
    <sheetView zoomScale="120" zoomScaleNormal="120" zoomScaleSheetLayoutView="100" workbookViewId="0" topLeftCell="A2">
      <selection activeCell="F29" sqref="F29"/>
    </sheetView>
  </sheetViews>
  <sheetFormatPr defaultColWidth="9.00390625" defaultRowHeight="12.75"/>
  <cols>
    <col min="1" max="1" width="9.50390625" style="252" customWidth="1"/>
    <col min="2" max="2" width="99.375" style="252" customWidth="1"/>
    <col min="3" max="3" width="21.625" style="253" customWidth="1"/>
    <col min="4" max="4" width="9.00390625" style="264" customWidth="1"/>
    <col min="5" max="16384" width="9.375" style="264" customWidth="1"/>
  </cols>
  <sheetData>
    <row r="1" spans="2:3" ht="18.75" customHeight="1" hidden="1">
      <c r="B1" s="832" t="str">
        <f>CONCATENATE("1.4. melléklet ",ALAPADATOK!A7," ",ALAPADATOK!B7," ",ALAPADATOK!C7," ",ALAPADATOK!D7," ",ALAPADATOK!E7," ",ALAPADATOK!F7," ",ALAPADATOK!G7," ",ALAPADATOK!H7)</f>
        <v>1.4. melléklet a … / 2023. ( … ) önkormányzati rendelethez</v>
      </c>
      <c r="C1" s="833"/>
    </row>
    <row r="2" spans="1:3" ht="21.75" customHeight="1">
      <c r="A2" s="834" t="str">
        <f>CONCATENATE(ALAPADATOK!A3)</f>
        <v>Bátaszék Város Önkormányzata</v>
      </c>
      <c r="B2" s="831"/>
      <c r="C2" s="831"/>
    </row>
    <row r="3" spans="1:3" ht="21.75" customHeight="1">
      <c r="A3" s="834" t="str">
        <f>'KV_1.3.sz.mell.'!A3</f>
        <v>2023. ÉVI KÖLTSÉGVETÉS</v>
      </c>
      <c r="B3" s="831"/>
      <c r="C3" s="831"/>
    </row>
    <row r="4" spans="1:3" ht="21.75" customHeight="1">
      <c r="A4" s="834" t="s">
        <v>329</v>
      </c>
      <c r="B4" s="831"/>
      <c r="C4" s="831"/>
    </row>
    <row r="5" spans="1:3" ht="21.75" customHeight="1">
      <c r="A5" s="528"/>
      <c r="B5" s="528"/>
      <c r="C5" s="529"/>
    </row>
    <row r="6" spans="1:3" ht="15" customHeight="1">
      <c r="A6" s="825" t="str">
        <f>'KV_1.1.sz.mell.'!A6</f>
        <v>B E V É T E L E K</v>
      </c>
      <c r="B6" s="825"/>
      <c r="C6" s="825"/>
    </row>
    <row r="7" spans="1:3" ht="15" customHeight="1" thickBot="1">
      <c r="A7" s="826"/>
      <c r="B7" s="826"/>
      <c r="C7" s="522" t="str">
        <f>'KV_1.1.sz.mell.'!C7</f>
        <v>Forintban!</v>
      </c>
    </row>
    <row r="8" spans="1:3" ht="24" customHeight="1" thickBot="1">
      <c r="A8" s="632" t="str">
        <f>'KV_1.1.sz.mell.'!A8</f>
        <v>Sor-
szám</v>
      </c>
      <c r="B8" s="375" t="str">
        <f>'KV_1.1.sz.mell.'!B8</f>
        <v>Bevételi jogcím</v>
      </c>
      <c r="C8" s="523" t="str">
        <f>'KV_1.1.sz.mell.'!C8</f>
        <v>2023. évi előirányzat</v>
      </c>
    </row>
    <row r="9" spans="1:3" s="265" customFormat="1" ht="12" customHeight="1" thickBot="1">
      <c r="A9" s="517"/>
      <c r="B9" s="337" t="str">
        <f>'KV_1.1.sz.mell.'!B9</f>
        <v>A</v>
      </c>
      <c r="C9" s="338" t="str">
        <f>'KV_1.1.sz.mell.'!C9</f>
        <v>B</v>
      </c>
    </row>
    <row r="10" spans="1:3" s="266" customFormat="1" ht="12" customHeight="1" thickBot="1">
      <c r="A10" s="447">
        <f>'KV_1.1.sz.mell.'!A10</f>
        <v>1</v>
      </c>
      <c r="B10" s="396" t="str">
        <f>'KV_1.1.sz.mell.'!B10</f>
        <v>Működési célú támogatások államháztartáson belülről (10+…+11+…+14)</v>
      </c>
      <c r="C10" s="208">
        <f>C19+C20+C21+C22+C23</f>
        <v>0</v>
      </c>
    </row>
    <row r="11" spans="1:3" s="266" customFormat="1" ht="12" customHeight="1">
      <c r="A11" s="444" t="str">
        <f>'KV_1.1.sz.mell.'!A11</f>
        <v>2</v>
      </c>
      <c r="B11" s="397" t="str">
        <f>'KV_1.1.sz.mell.'!B11</f>
        <v>Helyi önkormányzatok működésének általános támogatása</v>
      </c>
      <c r="C11" s="211"/>
    </row>
    <row r="12" spans="1:3" s="266" customFormat="1" ht="12" customHeight="1">
      <c r="A12" s="444" t="str">
        <f>'KV_1.1.sz.mell.'!A12</f>
        <v>3</v>
      </c>
      <c r="B12" s="397" t="str">
        <f>'KV_1.1.sz.mell.'!B12</f>
        <v>Önkormányzatok egyes köznevelési feladatainak támogatása</v>
      </c>
      <c r="C12" s="211"/>
    </row>
    <row r="13" spans="1:3" s="266" customFormat="1" ht="12" customHeight="1">
      <c r="A13" s="444" t="str">
        <f>'KV_1.1.sz.mell.'!A13</f>
        <v>4</v>
      </c>
      <c r="B13" s="397" t="str">
        <f>'KV_1.1.sz.mell.'!B13</f>
        <v>Önkormányzatok szociális és gyermekjóléti feladatainak támogatása</v>
      </c>
      <c r="C13" s="211"/>
    </row>
    <row r="14" spans="1:3" s="266" customFormat="1" ht="12" customHeight="1">
      <c r="A14" s="444" t="str">
        <f>'KV_1.1.sz.mell.'!A14</f>
        <v>5</v>
      </c>
      <c r="B14" s="397" t="str">
        <f>'KV_1.1.sz.mell.'!B14</f>
        <v>Önkormányzatok gyermekétkeztetési feladatainak támogatása</v>
      </c>
      <c r="C14" s="211"/>
    </row>
    <row r="15" spans="1:3" s="266" customFormat="1" ht="12" customHeight="1">
      <c r="A15" s="444" t="str">
        <f>'KV_1.1.sz.mell.'!A15</f>
        <v>6</v>
      </c>
      <c r="B15" s="397" t="str">
        <f>'KV_1.1.sz.mell.'!B15</f>
        <v>Önkormányzatok kulturális feladatainak támogatása</v>
      </c>
      <c r="C15" s="211"/>
    </row>
    <row r="16" spans="1:3" s="266" customFormat="1" ht="12" customHeight="1">
      <c r="A16" s="444" t="str">
        <f>'KV_1.1.sz.mell.'!A16</f>
        <v>7</v>
      </c>
      <c r="B16" s="397" t="str">
        <f>'KV_1.1.sz.mell.'!B16</f>
        <v>Működési célú kvi támogatások és kiegészítő támogatások </v>
      </c>
      <c r="C16" s="211"/>
    </row>
    <row r="17" spans="1:3" s="266" customFormat="1" ht="12" customHeight="1">
      <c r="A17" s="444" t="str">
        <f>'KV_1.1.sz.mell.'!A17</f>
        <v>8</v>
      </c>
      <c r="B17" s="397" t="str">
        <f>'KV_1.1.sz.mell.'!B17</f>
        <v>Elszámolásból származó bevételek</v>
      </c>
      <c r="C17" s="211"/>
    </row>
    <row r="18" spans="1:3" s="266" customFormat="1" ht="12" customHeight="1">
      <c r="A18" s="444" t="str">
        <f>'KV_1.1.sz.mell.'!A18</f>
        <v>9</v>
      </c>
      <c r="B18" s="397" t="str">
        <f>'KV_1.1.sz.mell.'!B18</f>
        <v>Elvonások és befizetések bevételei</v>
      </c>
      <c r="C18" s="634"/>
    </row>
    <row r="19" spans="1:3" s="266" customFormat="1" ht="12" customHeight="1">
      <c r="A19" s="444" t="str">
        <f>'KV_1.1.sz.mell.'!A19</f>
        <v>10</v>
      </c>
      <c r="B19" s="397" t="str">
        <f>'KV_1.1.sz.mell.'!B19</f>
        <v>Önkormányzat működési támogatásai (2+…+.9)</v>
      </c>
      <c r="C19" s="459">
        <f>SUM(C11:C18)</f>
        <v>0</v>
      </c>
    </row>
    <row r="20" spans="1:3" s="266" customFormat="1" ht="12" customHeight="1">
      <c r="A20" s="444" t="str">
        <f>'KV_1.1.sz.mell.'!A20</f>
        <v>11</v>
      </c>
      <c r="B20" s="397" t="str">
        <f>'KV_1.1.sz.mell.'!B20</f>
        <v>Működési célú garancia- és kezességvállalásból megtérülések </v>
      </c>
      <c r="C20" s="211"/>
    </row>
    <row r="21" spans="1:3" s="266" customFormat="1" ht="12" customHeight="1">
      <c r="A21" s="444" t="str">
        <f>'KV_1.1.sz.mell.'!A21</f>
        <v>12</v>
      </c>
      <c r="B21" s="397" t="str">
        <f>'KV_1.1.sz.mell.'!B21</f>
        <v>Működési célú visszatérítendő támogatások, kölcsönök visszatérülése </v>
      </c>
      <c r="C21" s="211"/>
    </row>
    <row r="22" spans="1:3" s="266" customFormat="1" ht="12" customHeight="1">
      <c r="A22" s="444" t="str">
        <f>'KV_1.1.sz.mell.'!A22</f>
        <v>13</v>
      </c>
      <c r="B22" s="397" t="str">
        <f>'KV_1.1.sz.mell.'!B22</f>
        <v>Működési célú visszatérítendő támogatások, kölcsönök igénybevétele</v>
      </c>
      <c r="C22" s="211"/>
    </row>
    <row r="23" spans="1:3" s="266" customFormat="1" ht="12" customHeight="1">
      <c r="A23" s="444" t="str">
        <f>'KV_1.1.sz.mell.'!A23</f>
        <v>14</v>
      </c>
      <c r="B23" s="397" t="str">
        <f>'KV_1.1.sz.mell.'!B23</f>
        <v>Egyéb működési célú támogatások bevételei </v>
      </c>
      <c r="C23" s="211"/>
    </row>
    <row r="24" spans="1:3" s="266" customFormat="1" ht="12" customHeight="1" thickBot="1">
      <c r="A24" s="444" t="str">
        <f>'KV_1.1.sz.mell.'!A24</f>
        <v>15</v>
      </c>
      <c r="B24" s="397" t="str">
        <f>'KV_1.1.sz.mell.'!B24</f>
        <v>14-ből EU-s támogatás</v>
      </c>
      <c r="C24" s="211"/>
    </row>
    <row r="25" spans="1:3" s="266" customFormat="1" ht="12" customHeight="1" thickBot="1">
      <c r="A25" s="447">
        <f>'KV_1.1.sz.mell.'!A25</f>
        <v>16</v>
      </c>
      <c r="B25" s="396" t="str">
        <f>'KV_1.1.sz.mell.'!B25</f>
        <v>Felhalmozási célú támogatások államháztartáson belülről (17+…+21)</v>
      </c>
      <c r="C25" s="208">
        <f>+C26+C27+C28+C29+C30</f>
        <v>0</v>
      </c>
    </row>
    <row r="26" spans="1:3" s="266" customFormat="1" ht="12" customHeight="1">
      <c r="A26" s="444" t="str">
        <f>'KV_1.1.sz.mell.'!A26</f>
        <v>17</v>
      </c>
      <c r="B26" s="397" t="str">
        <f>'KV_1.1.sz.mell.'!B26</f>
        <v>Felhalmozási célú önkormányzati támogatások</v>
      </c>
      <c r="C26" s="211"/>
    </row>
    <row r="27" spans="1:3" s="266" customFormat="1" ht="12" customHeight="1">
      <c r="A27" s="444" t="str">
        <f>'KV_1.1.sz.mell.'!A27</f>
        <v>18</v>
      </c>
      <c r="B27" s="397" t="str">
        <f>'KV_1.1.sz.mell.'!B27</f>
        <v>Felhalmozási célú garancia- és kezességvállalásból megtérülések</v>
      </c>
      <c r="C27" s="210"/>
    </row>
    <row r="28" spans="1:3" s="266" customFormat="1" ht="12" customHeight="1">
      <c r="A28" s="444" t="str">
        <f>'KV_1.1.sz.mell.'!A28</f>
        <v>19</v>
      </c>
      <c r="B28" s="397" t="str">
        <f>'KV_1.1.sz.mell.'!B28</f>
        <v>Felhalmozási célú visszatérítendő támogatások, kölcsönök visszatérülése</v>
      </c>
      <c r="C28" s="210"/>
    </row>
    <row r="29" spans="1:3" s="266" customFormat="1" ht="12" customHeight="1">
      <c r="A29" s="444" t="str">
        <f>'KV_1.1.sz.mell.'!A29</f>
        <v>20</v>
      </c>
      <c r="B29" s="397" t="str">
        <f>'KV_1.1.sz.mell.'!B29</f>
        <v>Felhalmozási célú visszatérítendő támogatások, kölcsönök igénybevétele</v>
      </c>
      <c r="C29" s="210"/>
    </row>
    <row r="30" spans="1:3" s="266" customFormat="1" ht="12" customHeight="1">
      <c r="A30" s="444" t="str">
        <f>'KV_1.1.sz.mell.'!A30</f>
        <v>21</v>
      </c>
      <c r="B30" s="397" t="str">
        <f>'KV_1.1.sz.mell.'!B30</f>
        <v>Egyéb felhalmozási célú támogatások bevételei</v>
      </c>
      <c r="C30" s="210"/>
    </row>
    <row r="31" spans="1:3" s="334" customFormat="1" ht="12" customHeight="1" thickBot="1">
      <c r="A31" s="444" t="str">
        <f>'KV_1.1.sz.mell.'!A31</f>
        <v>22</v>
      </c>
      <c r="B31" s="397" t="str">
        <f>'KV_1.1.sz.mell.'!B31</f>
        <v>   21-ből EU-s támogatás</v>
      </c>
      <c r="C31" s="210"/>
    </row>
    <row r="32" spans="1:3" s="266" customFormat="1" ht="12" customHeight="1" thickBot="1">
      <c r="A32" s="447">
        <f>'KV_1.1.sz.mell.'!A32</f>
        <v>23</v>
      </c>
      <c r="B32" s="396" t="str">
        <f>'KV_1.1.sz.mell.'!B32</f>
        <v>Közhatalmi bevételek (24+…+30)</v>
      </c>
      <c r="C32" s="214">
        <f>SUM(C33:C39)</f>
        <v>0</v>
      </c>
    </row>
    <row r="33" spans="1:3" s="266" customFormat="1" ht="12" customHeight="1">
      <c r="A33" s="444" t="str">
        <f>'KV_1.1.sz.mell.'!A33</f>
        <v>24</v>
      </c>
      <c r="B33" s="397" t="str">
        <f>'KV_1.1.sz.mell.'!B33</f>
        <v>Építményadó</v>
      </c>
      <c r="C33" s="211"/>
    </row>
    <row r="34" spans="1:3" s="266" customFormat="1" ht="12" customHeight="1">
      <c r="A34" s="444" t="str">
        <f>'KV_1.1.sz.mell.'!A34</f>
        <v>25</v>
      </c>
      <c r="B34" s="397" t="str">
        <f>'KV_1.1.sz.mell.'!B34</f>
        <v>Magánszemélyek kommunális adója</v>
      </c>
      <c r="C34" s="210"/>
    </row>
    <row r="35" spans="1:3" s="266" customFormat="1" ht="12" customHeight="1">
      <c r="A35" s="444" t="str">
        <f>'KV_1.1.sz.mell.'!A35</f>
        <v>26</v>
      </c>
      <c r="B35" s="397" t="str">
        <f>'KV_1.1.sz.mell.'!B35</f>
        <v>Iparűzési adó</v>
      </c>
      <c r="C35" s="210"/>
    </row>
    <row r="36" spans="1:3" s="266" customFormat="1" ht="12" customHeight="1">
      <c r="A36" s="444" t="str">
        <f>'KV_1.1.sz.mell.'!A36</f>
        <v>27</v>
      </c>
      <c r="B36" s="397" t="str">
        <f>'KV_1.1.sz.mell.'!B36</f>
        <v>Talajterhelési díj </v>
      </c>
      <c r="C36" s="210"/>
    </row>
    <row r="37" spans="1:3" s="266" customFormat="1" ht="12" customHeight="1">
      <c r="A37" s="444" t="str">
        <f>'KV_1.1.sz.mell.'!A37</f>
        <v>28</v>
      </c>
      <c r="B37" s="397" t="str">
        <f>'KV_1.1.sz.mell.'!B37</f>
        <v>Gépjárműadó</v>
      </c>
      <c r="C37" s="210"/>
    </row>
    <row r="38" spans="1:3" s="266" customFormat="1" ht="12" customHeight="1">
      <c r="A38" s="444" t="str">
        <f>'KV_1.1.sz.mell.'!A38</f>
        <v>29</v>
      </c>
      <c r="B38" s="397" t="str">
        <f>'KV_1.1.sz.mell.'!B38</f>
        <v>Telekadó</v>
      </c>
      <c r="C38" s="210"/>
    </row>
    <row r="39" spans="1:3" s="266" customFormat="1" ht="12" customHeight="1" thickBot="1">
      <c r="A39" s="444" t="str">
        <f>'KV_1.1.sz.mell.'!A39</f>
        <v>30</v>
      </c>
      <c r="B39" s="397" t="str">
        <f>'KV_1.1.sz.mell.'!B39</f>
        <v>Egyéb közhatalmi bevétel</v>
      </c>
      <c r="C39" s="212"/>
    </row>
    <row r="40" spans="1:3" s="266" customFormat="1" ht="12" customHeight="1" thickBot="1">
      <c r="A40" s="447">
        <f>'KV_1.1.sz.mell.'!A40</f>
        <v>31</v>
      </c>
      <c r="B40" s="396" t="str">
        <f>'KV_1.1.sz.mell.'!B40</f>
        <v>Működési bevételek (32+…+ 42)</v>
      </c>
      <c r="C40" s="208">
        <f>SUM(C41:C51)</f>
        <v>0</v>
      </c>
    </row>
    <row r="41" spans="1:3" s="266" customFormat="1" ht="12" customHeight="1">
      <c r="A41" s="444" t="str">
        <f>'KV_1.1.sz.mell.'!A41</f>
        <v>32</v>
      </c>
      <c r="B41" s="397" t="str">
        <f>'KV_1.1.sz.mell.'!B41</f>
        <v>Készletértékesítés ellenértéke</v>
      </c>
      <c r="C41" s="211"/>
    </row>
    <row r="42" spans="1:3" s="266" customFormat="1" ht="12" customHeight="1">
      <c r="A42" s="444" t="str">
        <f>'KV_1.1.sz.mell.'!A42</f>
        <v>33</v>
      </c>
      <c r="B42" s="397" t="str">
        <f>'KV_1.1.sz.mell.'!B42</f>
        <v>Szolgáltatások ellenértéke</v>
      </c>
      <c r="C42" s="210"/>
    </row>
    <row r="43" spans="1:3" s="266" customFormat="1" ht="12" customHeight="1">
      <c r="A43" s="444" t="str">
        <f>'KV_1.1.sz.mell.'!A43</f>
        <v>34</v>
      </c>
      <c r="B43" s="397" t="str">
        <f>'KV_1.1.sz.mell.'!B43</f>
        <v>Közvetített szolgáltatások értéke</v>
      </c>
      <c r="C43" s="210"/>
    </row>
    <row r="44" spans="1:3" s="266" customFormat="1" ht="12" customHeight="1">
      <c r="A44" s="444" t="str">
        <f>'KV_1.1.sz.mell.'!A44</f>
        <v>35</v>
      </c>
      <c r="B44" s="397" t="str">
        <f>'KV_1.1.sz.mell.'!B44</f>
        <v>Tulajdonosi bevételek</v>
      </c>
      <c r="C44" s="210"/>
    </row>
    <row r="45" spans="1:3" s="266" customFormat="1" ht="12" customHeight="1">
      <c r="A45" s="444" t="str">
        <f>'KV_1.1.sz.mell.'!A45</f>
        <v>36</v>
      </c>
      <c r="B45" s="397" t="str">
        <f>'KV_1.1.sz.mell.'!B45</f>
        <v>Ellátási díjak</v>
      </c>
      <c r="C45" s="210"/>
    </row>
    <row r="46" spans="1:3" s="266" customFormat="1" ht="12" customHeight="1">
      <c r="A46" s="444" t="str">
        <f>'KV_1.1.sz.mell.'!A46</f>
        <v>37</v>
      </c>
      <c r="B46" s="397" t="str">
        <f>'KV_1.1.sz.mell.'!B46</f>
        <v>Kiszámlázott általános forgalmi adó </v>
      </c>
      <c r="C46" s="210"/>
    </row>
    <row r="47" spans="1:3" s="266" customFormat="1" ht="12" customHeight="1">
      <c r="A47" s="444" t="str">
        <f>'KV_1.1.sz.mell.'!A47</f>
        <v>38</v>
      </c>
      <c r="B47" s="397" t="str">
        <f>'KV_1.1.sz.mell.'!B47</f>
        <v>Általános forgalmi adó visszatérítése</v>
      </c>
      <c r="C47" s="210"/>
    </row>
    <row r="48" spans="1:3" s="266" customFormat="1" ht="12" customHeight="1">
      <c r="A48" s="444" t="str">
        <f>'KV_1.1.sz.mell.'!A48</f>
        <v>39</v>
      </c>
      <c r="B48" s="397" t="str">
        <f>'KV_1.1.sz.mell.'!B48</f>
        <v>Kamatbevételek és más nyereségjellegű bevételek</v>
      </c>
      <c r="C48" s="210"/>
    </row>
    <row r="49" spans="1:3" s="266" customFormat="1" ht="12" customHeight="1">
      <c r="A49" s="444" t="str">
        <f>'KV_1.1.sz.mell.'!A49</f>
        <v>40</v>
      </c>
      <c r="B49" s="397" t="str">
        <f>'KV_1.1.sz.mell.'!B49</f>
        <v>Egyéb pénzügyi műveletek bevételei</v>
      </c>
      <c r="C49" s="213"/>
    </row>
    <row r="50" spans="1:3" s="266" customFormat="1" ht="12" customHeight="1">
      <c r="A50" s="444" t="str">
        <f>'KV_1.1.sz.mell.'!A50</f>
        <v>41</v>
      </c>
      <c r="B50" s="397" t="str">
        <f>'KV_1.1.sz.mell.'!B50</f>
        <v>Biztosító által fizetett kártérítés</v>
      </c>
      <c r="C50" s="261"/>
    </row>
    <row r="51" spans="1:3" s="266" customFormat="1" ht="12" customHeight="1" thickBot="1">
      <c r="A51" s="444" t="str">
        <f>'KV_1.1.sz.mell.'!A51</f>
        <v>42</v>
      </c>
      <c r="B51" s="397" t="str">
        <f>'KV_1.1.sz.mell.'!B51</f>
        <v>Egyéb működési bevételek</v>
      </c>
      <c r="C51" s="261"/>
    </row>
    <row r="52" spans="1:3" s="266" customFormat="1" ht="12" customHeight="1" thickBot="1">
      <c r="A52" s="447">
        <f>'KV_1.1.sz.mell.'!A52</f>
        <v>43</v>
      </c>
      <c r="B52" s="396" t="str">
        <f>'KV_1.1.sz.mell.'!B52</f>
        <v>Felhalmozási bevételek (44+…+48)</v>
      </c>
      <c r="C52" s="208">
        <f>SUM(C53:C57)</f>
        <v>0</v>
      </c>
    </row>
    <row r="53" spans="1:3" s="266" customFormat="1" ht="12" customHeight="1">
      <c r="A53" s="444" t="str">
        <f>'KV_1.1.sz.mell.'!A53</f>
        <v>44</v>
      </c>
      <c r="B53" s="397" t="str">
        <f>'KV_1.1.sz.mell.'!B53</f>
        <v>Immateriális javak értékesítése</v>
      </c>
      <c r="C53" s="281"/>
    </row>
    <row r="54" spans="1:3" s="266" customFormat="1" ht="12" customHeight="1">
      <c r="A54" s="444" t="str">
        <f>'KV_1.1.sz.mell.'!A54</f>
        <v>45</v>
      </c>
      <c r="B54" s="397" t="str">
        <f>'KV_1.1.sz.mell.'!B54</f>
        <v>Ingatlanok értékesítése</v>
      </c>
      <c r="C54" s="213"/>
    </row>
    <row r="55" spans="1:3" s="266" customFormat="1" ht="12" customHeight="1">
      <c r="A55" s="444" t="str">
        <f>'KV_1.1.sz.mell.'!A55</f>
        <v>46</v>
      </c>
      <c r="B55" s="397" t="str">
        <f>'KV_1.1.sz.mell.'!B55</f>
        <v>Egyéb tárgyi eszközök értékesítése</v>
      </c>
      <c r="C55" s="213"/>
    </row>
    <row r="56" spans="1:3" s="266" customFormat="1" ht="12" customHeight="1">
      <c r="A56" s="444" t="str">
        <f>'KV_1.1.sz.mell.'!A56</f>
        <v>47</v>
      </c>
      <c r="B56" s="397" t="str">
        <f>'KV_1.1.sz.mell.'!B56</f>
        <v>Részesedések értékesítése</v>
      </c>
      <c r="C56" s="213"/>
    </row>
    <row r="57" spans="1:3" s="266" customFormat="1" ht="12" customHeight="1" thickBot="1">
      <c r="A57" s="444" t="str">
        <f>'KV_1.1.sz.mell.'!A57</f>
        <v>48</v>
      </c>
      <c r="B57" s="397" t="str">
        <f>'KV_1.1.sz.mell.'!B57</f>
        <v>Részesedések megszűnéséhez kapcsolódó bevételek</v>
      </c>
      <c r="C57" s="261"/>
    </row>
    <row r="58" spans="1:3" s="266" customFormat="1" ht="12" customHeight="1" thickBot="1">
      <c r="A58" s="447">
        <f>'KV_1.1.sz.mell.'!A58</f>
        <v>49</v>
      </c>
      <c r="B58" s="396" t="str">
        <f>'KV_1.1.sz.mell.'!B58</f>
        <v>Működési célú átvett pénzeszközök (50+ … + 52)</v>
      </c>
      <c r="C58" s="208">
        <f>SUM(C59:C61)</f>
        <v>0</v>
      </c>
    </row>
    <row r="59" spans="1:3" s="266" customFormat="1" ht="12" customHeight="1">
      <c r="A59" s="444" t="str">
        <f>'KV_1.1.sz.mell.'!A59</f>
        <v>50</v>
      </c>
      <c r="B59" s="397" t="str">
        <f>'KV_1.1.sz.mell.'!B59</f>
        <v>Működési célú garancia- és kezességvállalásból megtérülések ÁH-n kívülről</v>
      </c>
      <c r="C59" s="211"/>
    </row>
    <row r="60" spans="1:3" s="266" customFormat="1" ht="12" customHeight="1">
      <c r="A60" s="444" t="str">
        <f>'KV_1.1.sz.mell.'!A60</f>
        <v>51</v>
      </c>
      <c r="B60" s="397" t="str">
        <f>'KV_1.1.sz.mell.'!B60</f>
        <v>Működési célú visszatérítendő támogatások, kölcsönök visszatér. ÁH-n kívülről</v>
      </c>
      <c r="C60" s="210"/>
    </row>
    <row r="61" spans="1:3" s="266" customFormat="1" ht="12" customHeight="1">
      <c r="A61" s="444" t="str">
        <f>'KV_1.1.sz.mell.'!A61</f>
        <v>52</v>
      </c>
      <c r="B61" s="397" t="str">
        <f>'KV_1.1.sz.mell.'!B61</f>
        <v>Egyéb működési célú átvett pénzeszköz</v>
      </c>
      <c r="C61" s="210"/>
    </row>
    <row r="62" spans="1:3" s="266" customFormat="1" ht="12" customHeight="1" thickBot="1">
      <c r="A62" s="444" t="str">
        <f>'KV_1.1.sz.mell.'!A62</f>
        <v>53</v>
      </c>
      <c r="B62" s="397" t="str">
        <f>'KV_1.1.sz.mell.'!B62</f>
        <v>  52-ből EU-s támogatás (közvetlen)</v>
      </c>
      <c r="C62" s="212"/>
    </row>
    <row r="63" spans="1:3" s="266" customFormat="1" ht="12" customHeight="1" thickBot="1">
      <c r="A63" s="447">
        <f>'KV_1.1.sz.mell.'!A63</f>
        <v>54</v>
      </c>
      <c r="B63" s="399" t="str">
        <f>'KV_1.1.sz.mell.'!B63</f>
        <v>Felhalmozási célú átvett pénzeszközök (55+…+57)</v>
      </c>
      <c r="C63" s="208">
        <f>SUM(C64:C66)</f>
        <v>0</v>
      </c>
    </row>
    <row r="64" spans="1:3" s="266" customFormat="1" ht="12" customHeight="1">
      <c r="A64" s="444" t="str">
        <f>'KV_1.1.sz.mell.'!A64</f>
        <v>55</v>
      </c>
      <c r="B64" s="397" t="str">
        <f>'KV_1.1.sz.mell.'!B64</f>
        <v>Felhalm. célú garancia- és kezességvállalásból megtérülések ÁH-n kívülről</v>
      </c>
      <c r="C64" s="213"/>
    </row>
    <row r="65" spans="1:3" s="266" customFormat="1" ht="12" customHeight="1">
      <c r="A65" s="444" t="str">
        <f>'KV_1.1.sz.mell.'!A65</f>
        <v>56</v>
      </c>
      <c r="B65" s="397" t="str">
        <f>'KV_1.1.sz.mell.'!B65</f>
        <v>Felhalm. célú visszatérítendő támogatások, kölcsönök visszatér. ÁH-n kívülről</v>
      </c>
      <c r="C65" s="213"/>
    </row>
    <row r="66" spans="1:3" s="266" customFormat="1" ht="12" customHeight="1">
      <c r="A66" s="444" t="str">
        <f>'KV_1.1.sz.mell.'!A66</f>
        <v>57</v>
      </c>
      <c r="B66" s="397" t="str">
        <f>'KV_1.1.sz.mell.'!B66</f>
        <v>Egyéb felhalmozási célú átvett pénzeszköz</v>
      </c>
      <c r="C66" s="213"/>
    </row>
    <row r="67" spans="1:3" s="266" customFormat="1" ht="12" customHeight="1" thickBot="1">
      <c r="A67" s="444" t="str">
        <f>'KV_1.1.sz.mell.'!A67</f>
        <v>58</v>
      </c>
      <c r="B67" s="397" t="str">
        <f>'KV_1.1.sz.mell.'!B67</f>
        <v>  57-ből EU-s támogatás (közvetlen)</v>
      </c>
      <c r="C67" s="213"/>
    </row>
    <row r="68" spans="1:3" s="266" customFormat="1" ht="12" customHeight="1" thickBot="1">
      <c r="A68" s="447">
        <f>'KV_1.1.sz.mell.'!A68</f>
        <v>59</v>
      </c>
      <c r="B68" s="396" t="str">
        <f>'KV_1.1.sz.mell.'!B68</f>
        <v>KÖLTSÉGVETÉSI BEVÉTELEK ÖSSZESEN: (1+16+23+31+43+49+54)</v>
      </c>
      <c r="C68" s="214">
        <f>+C10+C25+C32+C40+C52+C58+C63</f>
        <v>0</v>
      </c>
    </row>
    <row r="69" spans="1:3" s="266" customFormat="1" ht="12" customHeight="1" thickBot="1">
      <c r="A69" s="448">
        <f>'KV_1.1.sz.mell.'!A69</f>
        <v>60</v>
      </c>
      <c r="B69" s="396" t="str">
        <f>'KV_1.1.sz.mell.'!B69</f>
        <v>Hitel-, kölcsönfelvétel államháztartáson kívülről  (61+…+63)</v>
      </c>
      <c r="C69" s="208">
        <f>SUM(C70:C72)</f>
        <v>0</v>
      </c>
    </row>
    <row r="70" spans="1:3" s="266" customFormat="1" ht="12" customHeight="1">
      <c r="A70" s="444" t="str">
        <f>'KV_1.1.sz.mell.'!A70</f>
        <v>61</v>
      </c>
      <c r="B70" s="397" t="str">
        <f>'KV_1.1.sz.mell.'!B70</f>
        <v>Hosszú lejáratú  hitelek, kölcsönök felvétele</v>
      </c>
      <c r="C70" s="213"/>
    </row>
    <row r="71" spans="1:3" s="266" customFormat="1" ht="12" customHeight="1">
      <c r="A71" s="444" t="str">
        <f>'KV_1.1.sz.mell.'!A71</f>
        <v>62</v>
      </c>
      <c r="B71" s="397" t="str">
        <f>'KV_1.1.sz.mell.'!B71</f>
        <v>Likviditási célú  hitelek, kölcsönök felvétele pénzügyi vállalkozástól</v>
      </c>
      <c r="C71" s="213"/>
    </row>
    <row r="72" spans="1:3" s="266" customFormat="1" ht="12" customHeight="1" thickBot="1">
      <c r="A72" s="444" t="str">
        <f>'KV_1.1.sz.mell.'!A72</f>
        <v>63</v>
      </c>
      <c r="B72" s="397" t="str">
        <f>'KV_1.1.sz.mell.'!B72</f>
        <v>Rövid lejáratú  hitelek, kölcsönök felvétele pénzügyi vállalkozástól</v>
      </c>
      <c r="C72" s="213"/>
    </row>
    <row r="73" spans="1:3" s="266" customFormat="1" ht="12" customHeight="1" thickBot="1">
      <c r="A73" s="448">
        <f>'KV_1.1.sz.mell.'!A73</f>
        <v>64</v>
      </c>
      <c r="B73" s="399" t="str">
        <f>'KV_1.1.sz.mell.'!B73</f>
        <v>Belföldi értékpapírok bevételei (65 +…+ 68)</v>
      </c>
      <c r="C73" s="208">
        <f>SUM(C74:C77)</f>
        <v>0</v>
      </c>
    </row>
    <row r="74" spans="1:3" s="266" customFormat="1" ht="12" customHeight="1">
      <c r="A74" s="444" t="str">
        <f>'KV_1.1.sz.mell.'!A74</f>
        <v>65</v>
      </c>
      <c r="B74" s="397" t="str">
        <f>'KV_1.1.sz.mell.'!B74</f>
        <v>Forgatási célú belföldi értékpapírok beváltása,  értékesítése</v>
      </c>
      <c r="C74" s="213"/>
    </row>
    <row r="75" spans="1:3" s="266" customFormat="1" ht="12" customHeight="1">
      <c r="A75" s="444" t="str">
        <f>'KV_1.1.sz.mell.'!A75</f>
        <v>66</v>
      </c>
      <c r="B75" s="397" t="str">
        <f>'KV_1.1.sz.mell.'!B75</f>
        <v>Éven belüli lejáratú belföldi értékpapírok kibocsátása</v>
      </c>
      <c r="C75" s="213"/>
    </row>
    <row r="76" spans="1:3" s="266" customFormat="1" ht="12" customHeight="1">
      <c r="A76" s="444" t="str">
        <f>'KV_1.1.sz.mell.'!A76</f>
        <v>67</v>
      </c>
      <c r="B76" s="397" t="str">
        <f>'KV_1.1.sz.mell.'!B76</f>
        <v>Befektetési célú belföldi értékpapírok beváltása,  értékesítése</v>
      </c>
      <c r="C76" s="261"/>
    </row>
    <row r="77" spans="1:3" s="266" customFormat="1" ht="12" customHeight="1" thickBot="1">
      <c r="A77" s="444" t="str">
        <f>'KV_1.1.sz.mell.'!A77</f>
        <v>68</v>
      </c>
      <c r="B77" s="397" t="str">
        <f>'KV_1.1.sz.mell.'!B77</f>
        <v>Éven túli lejáratú belföldi értékpapírok kibocsátása</v>
      </c>
      <c r="C77" s="339"/>
    </row>
    <row r="78" spans="1:3" s="266" customFormat="1" ht="12" customHeight="1" thickBot="1">
      <c r="A78" s="448">
        <f>'KV_1.1.sz.mell.'!A78</f>
        <v>69</v>
      </c>
      <c r="B78" s="399" t="str">
        <f>'KV_1.1.sz.mell.'!B78</f>
        <v>Maradvány igénybevétele (70 + 71)</v>
      </c>
      <c r="C78" s="208">
        <f>SUM(C79:C80)</f>
        <v>0</v>
      </c>
    </row>
    <row r="79" spans="1:3" s="266" customFormat="1" ht="12" customHeight="1" thickBot="1">
      <c r="A79" s="444" t="str">
        <f>'KV_1.1.sz.mell.'!A79</f>
        <v>70</v>
      </c>
      <c r="B79" s="500" t="str">
        <f>'KV_1.1.sz.mell.'!B79</f>
        <v>Előző év költségvetési maradványának igénybevétele</v>
      </c>
      <c r="C79" s="409"/>
    </row>
    <row r="80" spans="1:3" s="266" customFormat="1" ht="12" customHeight="1" thickBot="1">
      <c r="A80" s="444" t="str">
        <f>'KV_1.1.sz.mell.'!A80</f>
        <v>71</v>
      </c>
      <c r="B80" s="500" t="str">
        <f>'KV_1.1.sz.mell.'!B80</f>
        <v>Előző év vállalkozási maradványának igénybevétele</v>
      </c>
      <c r="C80" s="339"/>
    </row>
    <row r="81" spans="1:3" s="266" customFormat="1" ht="12" customHeight="1" thickBot="1">
      <c r="A81" s="448">
        <f>'KV_1.1.sz.mell.'!A81</f>
        <v>72</v>
      </c>
      <c r="B81" s="399" t="str">
        <f>'KV_1.1.sz.mell.'!B81</f>
        <v>Belföldi finanszírozás bevételei (73 + … + 75)</v>
      </c>
      <c r="C81" s="208">
        <f>SUM(C82:C84)</f>
        <v>0</v>
      </c>
    </row>
    <row r="82" spans="1:3" s="266" customFormat="1" ht="12" customHeight="1">
      <c r="A82" s="444" t="str">
        <f>'KV_1.1.sz.mell.'!A82</f>
        <v>73</v>
      </c>
      <c r="B82" s="397" t="str">
        <f>'KV_1.1.sz.mell.'!B82</f>
        <v>Államháztartáson belüli megelőlegezések</v>
      </c>
      <c r="C82" s="213"/>
    </row>
    <row r="83" spans="1:3" s="266" customFormat="1" ht="12" customHeight="1">
      <c r="A83" s="444" t="str">
        <f>'KV_1.1.sz.mell.'!A83</f>
        <v>74</v>
      </c>
      <c r="B83" s="397" t="str">
        <f>'KV_1.1.sz.mell.'!B83</f>
        <v>Államháztartáson belüli megelőlegezések törlesztése</v>
      </c>
      <c r="C83" s="213"/>
    </row>
    <row r="84" spans="1:3" s="266" customFormat="1" ht="12" customHeight="1" thickBot="1">
      <c r="A84" s="445" t="str">
        <f>'KV_1.1.sz.mell.'!A84</f>
        <v>75</v>
      </c>
      <c r="B84" s="397" t="str">
        <f>'KV_1.1.sz.mell.'!B84</f>
        <v>Lekötött betétek megszüntetése</v>
      </c>
      <c r="C84" s="339"/>
    </row>
    <row r="85" spans="1:3" s="266" customFormat="1" ht="12" customHeight="1" thickBot="1">
      <c r="A85" s="449" t="str">
        <f>'KV_1.1.sz.mell.'!A85</f>
        <v>76</v>
      </c>
      <c r="B85" s="399" t="str">
        <f>'KV_1.1.sz.mell.'!B85</f>
        <v>Külföldi finanszírozás bevételei (77+…+80)</v>
      </c>
      <c r="C85" s="208">
        <f>SUM(C86:C89)</f>
        <v>0</v>
      </c>
    </row>
    <row r="86" spans="1:3" s="266" customFormat="1" ht="12" customHeight="1">
      <c r="A86" s="444" t="str">
        <f>'KV_1.1.sz.mell.'!A86</f>
        <v>77</v>
      </c>
      <c r="B86" s="397" t="str">
        <f>'KV_1.1.sz.mell.'!B86</f>
        <v>Forgatási célú külföldi értékpapírok beváltása,  értékesítése</v>
      </c>
      <c r="C86" s="213"/>
    </row>
    <row r="87" spans="1:3" s="266" customFormat="1" ht="12" customHeight="1">
      <c r="A87" s="444" t="str">
        <f>'KV_1.1.sz.mell.'!A87</f>
        <v>78</v>
      </c>
      <c r="B87" s="397" t="str">
        <f>'KV_1.1.sz.mell.'!B87</f>
        <v>Befektetési célú külföldi értékpapírok beváltása,  értékesítése</v>
      </c>
      <c r="C87" s="213"/>
    </row>
    <row r="88" spans="1:12" s="266" customFormat="1" ht="12" customHeight="1">
      <c r="A88" s="444" t="str">
        <f>'KV_1.1.sz.mell.'!A88</f>
        <v>79</v>
      </c>
      <c r="B88" s="397" t="str">
        <f>'KV_1.1.sz.mell.'!B88</f>
        <v>Külföldi értékpapírok kibocsátása</v>
      </c>
      <c r="C88" s="213"/>
      <c r="L88" s="630"/>
    </row>
    <row r="89" spans="1:3" s="266" customFormat="1" ht="12" customHeight="1" thickBot="1">
      <c r="A89" s="445" t="str">
        <f>'KV_1.1.sz.mell.'!A89</f>
        <v>80</v>
      </c>
      <c r="B89" s="397" t="str">
        <f>'KV_1.1.sz.mell.'!B89</f>
        <v>Külföldi hitelek, kölcsönök felvétele</v>
      </c>
      <c r="C89" s="213"/>
    </row>
    <row r="90" spans="1:3" s="266" customFormat="1" ht="12" customHeight="1" thickBot="1">
      <c r="A90" s="449" t="str">
        <f>'KV_1.1.sz.mell.'!A90</f>
        <v>81</v>
      </c>
      <c r="B90" s="399" t="str">
        <f>'KV_1.1.sz.mell.'!B90</f>
        <v>Váltóbevételek</v>
      </c>
      <c r="C90" s="282"/>
    </row>
    <row r="91" spans="1:3" s="266" customFormat="1" ht="13.5" customHeight="1" thickBot="1">
      <c r="A91" s="450" t="str">
        <f>'KV_1.1.sz.mell.'!A91</f>
        <v>82</v>
      </c>
      <c r="B91" s="399" t="str">
        <f>'KV_1.1.sz.mell.'!B91</f>
        <v>Adóssághoz nem kapcsolódó származékos ügyletek bevételei</v>
      </c>
      <c r="C91" s="282"/>
    </row>
    <row r="92" spans="1:3" s="266" customFormat="1" ht="15.75" customHeight="1" thickBot="1">
      <c r="A92" s="449" t="str">
        <f>'KV_1.1.sz.mell.'!A92</f>
        <v>83</v>
      </c>
      <c r="B92" s="399" t="str">
        <f>'KV_1.1.sz.mell.'!B92</f>
        <v>FINANSZÍROZÁSI BEVÉTELEK ÖSSZESEN: (60 + 64+69+72+76+81+82)</v>
      </c>
      <c r="C92" s="214">
        <f>+C69+C73+C78+C81+C85+C90+C91</f>
        <v>0</v>
      </c>
    </row>
    <row r="93" spans="1:3" s="266" customFormat="1" ht="16.5" customHeight="1" thickBot="1">
      <c r="A93" s="460" t="str">
        <f>'KV_1.1.sz.mell.'!A93</f>
        <v>84</v>
      </c>
      <c r="B93" s="399" t="str">
        <f>'KV_1.1.sz.mell.'!B93</f>
        <v>KÖLTSÉGVETÉSI ÉS FINANSZÍROZÁSI BEVÉTELEK ÖSSZESEN: (59+83)</v>
      </c>
      <c r="C93" s="214">
        <f>+C68+C92</f>
        <v>0</v>
      </c>
    </row>
    <row r="94" spans="1:3" s="266" customFormat="1" ht="10.5" customHeight="1">
      <c r="A94" s="518"/>
      <c r="B94" s="5"/>
      <c r="C94" s="215"/>
    </row>
    <row r="95" spans="1:3" ht="16.5" customHeight="1">
      <c r="A95" s="829" t="str">
        <f>'KV_1.1.sz.mell.'!A95</f>
        <v>K I A D Á S O K</v>
      </c>
      <c r="B95" s="829"/>
      <c r="C95" s="829"/>
    </row>
    <row r="96" spans="1:3" s="267" customFormat="1" ht="16.5" customHeight="1" thickBot="1">
      <c r="A96" s="827"/>
      <c r="B96" s="827"/>
      <c r="C96" s="524" t="str">
        <f>'KV_1.1.sz.mell.'!C96</f>
        <v>Forintban!</v>
      </c>
    </row>
    <row r="97" spans="1:3" ht="27.75" customHeight="1" thickBot="1">
      <c r="A97" s="631" t="str">
        <f>'KV_1.1.sz.mell.'!A97</f>
        <v>Sor-
szám</v>
      </c>
      <c r="B97" s="335" t="str">
        <f>'KV_1.1.sz.mell.'!B97</f>
        <v>Kiadási jogcímek</v>
      </c>
      <c r="C97" s="525" t="str">
        <f>'KV_1.1.sz.mell.'!C97</f>
        <v>2023. évi előirányzat</v>
      </c>
    </row>
    <row r="98" spans="1:3" s="265" customFormat="1" ht="12" customHeight="1" thickBot="1">
      <c r="A98" s="519"/>
      <c r="B98" s="335" t="str">
        <f>'KV_1.1.sz.mell.'!B98</f>
        <v>A</v>
      </c>
      <c r="C98" s="336" t="str">
        <f>'KV_1.1.sz.mell.'!C98</f>
        <v>B</v>
      </c>
    </row>
    <row r="99" spans="1:3" ht="12" customHeight="1" thickBot="1">
      <c r="A99" s="449">
        <f>'KV_1.1.sz.mell.'!A99</f>
        <v>1</v>
      </c>
      <c r="B99" s="13" t="str">
        <f>'KV_1.1.sz.mell.'!B99</f>
        <v>   Működési költségvetés kiadásai (2+…+6)</v>
      </c>
      <c r="C99" s="207">
        <f>C100+C101+C102+C103+C104</f>
        <v>0</v>
      </c>
    </row>
    <row r="100" spans="1:3" ht="12" customHeight="1" thickBot="1">
      <c r="A100" s="446" t="str">
        <f>'KV_1.1.sz.mell.'!A100</f>
        <v>2</v>
      </c>
      <c r="B100" s="504" t="str">
        <f>'KV_1.1.sz.mell.'!B100</f>
        <v>Személyi  juttatások</v>
      </c>
      <c r="C100" s="209"/>
    </row>
    <row r="101" spans="1:3" ht="12" customHeight="1">
      <c r="A101" s="444" t="str">
        <f>'KV_1.1.sz.mell.'!A101</f>
        <v>3</v>
      </c>
      <c r="B101" s="402" t="str">
        <f>'KV_1.1.sz.mell.'!B101</f>
        <v>Munkaadókat terhelő járulékok és szociális hozzájárulási adó</v>
      </c>
      <c r="C101" s="210"/>
    </row>
    <row r="102" spans="1:3" ht="12" customHeight="1">
      <c r="A102" s="444" t="str">
        <f>'KV_1.1.sz.mell.'!A102</f>
        <v>4</v>
      </c>
      <c r="B102" s="403" t="str">
        <f>'KV_1.1.sz.mell.'!B102</f>
        <v>Dologi  kiadások</v>
      </c>
      <c r="C102" s="212"/>
    </row>
    <row r="103" spans="1:3" ht="12" customHeight="1">
      <c r="A103" s="444" t="str">
        <f>'KV_1.1.sz.mell.'!A103</f>
        <v>5</v>
      </c>
      <c r="B103" s="403" t="str">
        <f>'KV_1.1.sz.mell.'!B103</f>
        <v>Ellátottak pénzbeli juttatásai</v>
      </c>
      <c r="C103" s="212"/>
    </row>
    <row r="104" spans="1:3" ht="12" customHeight="1">
      <c r="A104" s="444" t="str">
        <f>'KV_1.1.sz.mell.'!A104</f>
        <v>6</v>
      </c>
      <c r="B104" s="403" t="str">
        <f>'KV_1.1.sz.mell.'!B104</f>
        <v>Egyéb működési célú kiadások</v>
      </c>
      <c r="C104" s="212"/>
    </row>
    <row r="105" spans="1:3" ht="12" customHeight="1">
      <c r="A105" s="444" t="str">
        <f>'KV_1.1.sz.mell.'!A105</f>
        <v>7</v>
      </c>
      <c r="B105" s="403" t="str">
        <f>'KV_1.1.sz.mell.'!B105</f>
        <v>   - a 6-ból:       - Előző évi elszámolásból származó befizetések</v>
      </c>
      <c r="C105" s="212"/>
    </row>
    <row r="106" spans="1:3" ht="12" customHeight="1">
      <c r="A106" s="444" t="str">
        <f>'KV_1.1.sz.mell.'!A106</f>
        <v>8</v>
      </c>
      <c r="B106" s="403" t="str">
        <f>'KV_1.1.sz.mell.'!B106</f>
        <v>   - Törvényi előíráson alapuló befizetések</v>
      </c>
      <c r="C106" s="212"/>
    </row>
    <row r="107" spans="1:3" ht="12" customHeight="1">
      <c r="A107" s="444" t="str">
        <f>'KV_1.1.sz.mell.'!A107</f>
        <v>9</v>
      </c>
      <c r="B107" s="403" t="str">
        <f>'KV_1.1.sz.mell.'!B107</f>
        <v>   - Egyéb elvonások, befizetések</v>
      </c>
      <c r="C107" s="212"/>
    </row>
    <row r="108" spans="1:3" ht="12" customHeight="1">
      <c r="A108" s="444" t="str">
        <f>'KV_1.1.sz.mell.'!A108</f>
        <v>10</v>
      </c>
      <c r="B108" s="403" t="str">
        <f>'KV_1.1.sz.mell.'!B108</f>
        <v>   - Garancia- és kezességvállalásból kifizetés ÁH-n belülre</v>
      </c>
      <c r="C108" s="212"/>
    </row>
    <row r="109" spans="1:3" ht="12" customHeight="1">
      <c r="A109" s="444" t="str">
        <f>'KV_1.1.sz.mell.'!A109</f>
        <v>11</v>
      </c>
      <c r="B109" s="403" t="str">
        <f>'KV_1.1.sz.mell.'!B109</f>
        <v>   -Visszatérítendő támogatások, kölcsönök nyújtása ÁH-n belülre</v>
      </c>
      <c r="C109" s="212"/>
    </row>
    <row r="110" spans="1:3" ht="12" customHeight="1">
      <c r="A110" s="444" t="str">
        <f>'KV_1.1.sz.mell.'!A110</f>
        <v>12</v>
      </c>
      <c r="B110" s="403" t="str">
        <f>'KV_1.1.sz.mell.'!B110</f>
        <v>   - Visszatérítendő támogatások, kölcsönök törlesztése ÁH-n belülre</v>
      </c>
      <c r="C110" s="212"/>
    </row>
    <row r="111" spans="1:3" ht="12" customHeight="1">
      <c r="A111" s="444" t="str">
        <f>'KV_1.1.sz.mell.'!A111</f>
        <v>13</v>
      </c>
      <c r="B111" s="403" t="str">
        <f>'KV_1.1.sz.mell.'!B111</f>
        <v>   - Egyéb működési célú támogatások ÁH-n belülre</v>
      </c>
      <c r="C111" s="212"/>
    </row>
    <row r="112" spans="1:3" ht="12" customHeight="1">
      <c r="A112" s="444" t="str">
        <f>'KV_1.1.sz.mell.'!A112</f>
        <v>14</v>
      </c>
      <c r="B112" s="403" t="str">
        <f>'KV_1.1.sz.mell.'!B112</f>
        <v>   - Garancia és kezességvállalásból kifizetés ÁH-n kívülre</v>
      </c>
      <c r="C112" s="212"/>
    </row>
    <row r="113" spans="1:3" ht="12" customHeight="1">
      <c r="A113" s="444" t="str">
        <f>'KV_1.1.sz.mell.'!A113</f>
        <v>15</v>
      </c>
      <c r="B113" s="403" t="str">
        <f>'KV_1.1.sz.mell.'!B113</f>
        <v>   - Visszatérítendő támogatások, kölcsönök nyújtása ÁH-n kívülre</v>
      </c>
      <c r="C113" s="212"/>
    </row>
    <row r="114" spans="1:3" ht="12" customHeight="1">
      <c r="A114" s="444" t="str">
        <f>'KV_1.1.sz.mell.'!A114</f>
        <v>16</v>
      </c>
      <c r="B114" s="403" t="str">
        <f>'KV_1.1.sz.mell.'!B114</f>
        <v>   - Árkiegészítések, ártámogatások</v>
      </c>
      <c r="C114" s="212"/>
    </row>
    <row r="115" spans="1:3" ht="12" customHeight="1">
      <c r="A115" s="444" t="str">
        <f>'KV_1.1.sz.mell.'!A115</f>
        <v>17</v>
      </c>
      <c r="B115" s="403" t="str">
        <f>'KV_1.1.sz.mell.'!B115</f>
        <v>   - Kamattámogatások</v>
      </c>
      <c r="C115" s="212"/>
    </row>
    <row r="116" spans="1:3" ht="12" customHeight="1">
      <c r="A116" s="444" t="str">
        <f>'KV_1.1.sz.mell.'!A116</f>
        <v>18</v>
      </c>
      <c r="B116" s="403" t="str">
        <f>'KV_1.1.sz.mell.'!B116</f>
        <v>   - Egyéb működési célú támogatások államháztartáson kívülre</v>
      </c>
      <c r="C116" s="212"/>
    </row>
    <row r="117" spans="1:3" ht="12" customHeight="1">
      <c r="A117" s="444" t="str">
        <f>'KV_1.1.sz.mell.'!A117</f>
        <v>19</v>
      </c>
      <c r="B117" s="403" t="str">
        <f>'KV_1.1.sz.mell.'!B117</f>
        <v>   - Tartalékok</v>
      </c>
      <c r="C117" s="210"/>
    </row>
    <row r="118" spans="1:3" ht="12" customHeight="1">
      <c r="A118" s="444" t="str">
        <f>'KV_1.1.sz.mell.'!A118</f>
        <v>20</v>
      </c>
      <c r="B118" s="403" t="str">
        <f>'KV_1.1.sz.mell.'!B118</f>
        <v>         - a 19-ből:             - Általános tartalék</v>
      </c>
      <c r="C118" s="210"/>
    </row>
    <row r="119" spans="1:3" ht="12" customHeight="1" thickBot="1">
      <c r="A119" s="445" t="str">
        <f>'KV_1.1.sz.mell.'!A119</f>
        <v>21</v>
      </c>
      <c r="B119" s="456" t="str">
        <f>'KV_1.1.sz.mell.'!B119</f>
        <v>                                       - Céltartalék</v>
      </c>
      <c r="C119" s="216"/>
    </row>
    <row r="120" spans="1:3" ht="12" customHeight="1" thickBot="1">
      <c r="A120" s="449" t="str">
        <f>'KV_1.1.sz.mell.'!A120</f>
        <v>22</v>
      </c>
      <c r="B120" s="297" t="str">
        <f>'KV_1.1.sz.mell.'!B120</f>
        <v>   Felhalmozási költségvetés kiadásai (23+25+27)</v>
      </c>
      <c r="C120" s="298">
        <f>+C121+C123+C125</f>
        <v>0</v>
      </c>
    </row>
    <row r="121" spans="1:3" ht="12" customHeight="1">
      <c r="A121" s="444">
        <f>'KV_1.1.sz.mell.'!A121</f>
        <v>23</v>
      </c>
      <c r="B121" s="403" t="str">
        <f>'KV_1.1.sz.mell.'!B121</f>
        <v>Beruházások</v>
      </c>
      <c r="C121" s="211"/>
    </row>
    <row r="122" spans="1:3" ht="12" customHeight="1">
      <c r="A122" s="444" t="str">
        <f>'KV_1.1.sz.mell.'!A122</f>
        <v>24</v>
      </c>
      <c r="B122" s="403" t="str">
        <f>'KV_1.1.sz.mell.'!B122</f>
        <v>23-ból EU-s forrásból megvalósuló beruházás</v>
      </c>
      <c r="C122" s="211"/>
    </row>
    <row r="123" spans="1:3" ht="12" customHeight="1">
      <c r="A123" s="444" t="str">
        <f>'KV_1.1.sz.mell.'!A123</f>
        <v>25</v>
      </c>
      <c r="B123" s="403" t="str">
        <f>'KV_1.1.sz.mell.'!B123</f>
        <v>Felújítások</v>
      </c>
      <c r="C123" s="210"/>
    </row>
    <row r="124" spans="1:3" ht="12" customHeight="1">
      <c r="A124" s="444" t="str">
        <f>'KV_1.1.sz.mell.'!A124</f>
        <v>26</v>
      </c>
      <c r="B124" s="403" t="str">
        <f>'KV_1.1.sz.mell.'!B124</f>
        <v>25-ből EU-s forrásból megvalósuló felújítás</v>
      </c>
      <c r="C124" s="181"/>
    </row>
    <row r="125" spans="1:3" ht="12" customHeight="1">
      <c r="A125" s="444" t="str">
        <f>'KV_1.1.sz.mell.'!A125</f>
        <v>27</v>
      </c>
      <c r="B125" s="403" t="str">
        <f>'KV_1.1.sz.mell.'!B125</f>
        <v>Egyéb felhalmozási célú kiadások</v>
      </c>
      <c r="C125" s="181"/>
    </row>
    <row r="126" spans="1:3" ht="12" customHeight="1">
      <c r="A126" s="444" t="str">
        <f>'KV_1.1.sz.mell.'!A126</f>
        <v>28</v>
      </c>
      <c r="B126" s="403" t="str">
        <f>'KV_1.1.sz.mell.'!B126</f>
        <v>27-ből           - Garancia- és kezességvállalásból kifizetés ÁH-n belülre</v>
      </c>
      <c r="C126" s="181"/>
    </row>
    <row r="127" spans="1:3" ht="12" customHeight="1">
      <c r="A127" s="444" t="str">
        <f>'KV_1.1.sz.mell.'!A127</f>
        <v>29</v>
      </c>
      <c r="B127" s="403" t="str">
        <f>'KV_1.1.sz.mell.'!B127</f>
        <v>   - Visszatérítendő támogatások, kölcsönök nyújtása ÁH-n belülre</v>
      </c>
      <c r="C127" s="181"/>
    </row>
    <row r="128" spans="1:3" ht="15.75">
      <c r="A128" s="444" t="str">
        <f>'KV_1.1.sz.mell.'!A128</f>
        <v>30</v>
      </c>
      <c r="B128" s="403" t="str">
        <f>'KV_1.1.sz.mell.'!B128</f>
        <v>   - Visszatérítendő támogatások, kölcsönök törlesztése ÁH-n belülre</v>
      </c>
      <c r="C128" s="181"/>
    </row>
    <row r="129" spans="1:3" ht="12" customHeight="1">
      <c r="A129" s="444" t="str">
        <f>'KV_1.1.sz.mell.'!A129</f>
        <v>31</v>
      </c>
      <c r="B129" s="403" t="str">
        <f>'KV_1.1.sz.mell.'!B129</f>
        <v>   - Egyéb felhalmozási célú támogatások ÁH-n belülre</v>
      </c>
      <c r="C129" s="181"/>
    </row>
    <row r="130" spans="1:3" ht="12" customHeight="1">
      <c r="A130" s="444" t="str">
        <f>'KV_1.1.sz.mell.'!A130</f>
        <v>32</v>
      </c>
      <c r="B130" s="403" t="str">
        <f>'KV_1.1.sz.mell.'!B130</f>
        <v>   - Garancia- és kezességvállalásból kifizetés ÁH-n kívülre</v>
      </c>
      <c r="C130" s="181"/>
    </row>
    <row r="131" spans="1:3" ht="12" customHeight="1">
      <c r="A131" s="444" t="str">
        <f>'KV_1.1.sz.mell.'!A131</f>
        <v>33</v>
      </c>
      <c r="B131" s="403" t="str">
        <f>'KV_1.1.sz.mell.'!B131</f>
        <v>   - Visszatérítendő támogatások, kölcsönök nyújtása ÁH-n kívülre</v>
      </c>
      <c r="C131" s="181"/>
    </row>
    <row r="132" spans="1:3" ht="12" customHeight="1">
      <c r="A132" s="444" t="str">
        <f>'KV_1.1.sz.mell.'!A132</f>
        <v>34</v>
      </c>
      <c r="B132" s="403" t="str">
        <f>'KV_1.1.sz.mell.'!B132</f>
        <v>   - Lakástámogatás</v>
      </c>
      <c r="C132" s="181"/>
    </row>
    <row r="133" spans="1:3" ht="16.5" thickBot="1">
      <c r="A133" s="444">
        <f>'KV_1.1.sz.mell.'!A133</f>
        <v>35</v>
      </c>
      <c r="B133" s="403" t="str">
        <f>'KV_1.1.sz.mell.'!B133</f>
        <v>   - Egyéb felhalmozási célú támogatások államháztartáson kívülre</v>
      </c>
      <c r="C133" s="183"/>
    </row>
    <row r="134" spans="1:3" ht="12" customHeight="1" thickBot="1">
      <c r="A134" s="449">
        <f>'KV_1.1.sz.mell.'!A134</f>
        <v>36</v>
      </c>
      <c r="B134" s="90" t="str">
        <f>'KV_1.1.sz.mell.'!B134</f>
        <v>KÖLTSÉGVETÉSI KIADÁSOK ÖSSZESEN (1+22)</v>
      </c>
      <c r="C134" s="208">
        <f>+C99+C120</f>
        <v>0</v>
      </c>
    </row>
    <row r="135" spans="1:3" ht="12" customHeight="1" thickBot="1">
      <c r="A135" s="449">
        <f>'KV_1.1.sz.mell.'!A135</f>
        <v>37</v>
      </c>
      <c r="B135" s="90" t="str">
        <f>'KV_1.1.sz.mell.'!B135</f>
        <v>Hitel-, kölcsöntörlesztés államháztartáson kívülre (38+ … + 40)</v>
      </c>
      <c r="C135" s="208">
        <f>+C136+C137+C138</f>
        <v>0</v>
      </c>
    </row>
    <row r="136" spans="1:3" ht="12" customHeight="1">
      <c r="A136" s="444">
        <f>'KV_1.1.sz.mell.'!A136</f>
        <v>38</v>
      </c>
      <c r="B136" s="405" t="str">
        <f>'KV_1.1.sz.mell.'!B136</f>
        <v>Hosszú lejáratú hitelek, kölcsönök törlesztése pénzügyi vállalkozásnak</v>
      </c>
      <c r="C136" s="181"/>
    </row>
    <row r="137" spans="1:3" ht="12" customHeight="1">
      <c r="A137" s="444" t="str">
        <f>'KV_1.1.sz.mell.'!A137</f>
        <v>39</v>
      </c>
      <c r="B137" s="405" t="str">
        <f>'KV_1.1.sz.mell.'!B137</f>
        <v>Likviditási célú hitelek, kölcsönök törlesztése pénzügyi vállalkozásnak</v>
      </c>
      <c r="C137" s="181"/>
    </row>
    <row r="138" spans="1:3" ht="12" customHeight="1" thickBot="1">
      <c r="A138" s="444" t="str">
        <f>'KV_1.1.sz.mell.'!A138</f>
        <v>40</v>
      </c>
      <c r="B138" s="405" t="str">
        <f>'KV_1.1.sz.mell.'!B138</f>
        <v>Rövid lejáratú hitelek, kölcsönök törlesztése pénzügyi vállalkozásnak</v>
      </c>
      <c r="C138" s="181"/>
    </row>
    <row r="139" spans="1:3" ht="12" customHeight="1" thickBot="1">
      <c r="A139" s="449">
        <f>'KV_1.1.sz.mell.'!A139</f>
        <v>41</v>
      </c>
      <c r="B139" s="90" t="str">
        <f>'KV_1.1.sz.mell.'!B139</f>
        <v>Belföldi értékpapírok kiadásai (42+ … + 47)</v>
      </c>
      <c r="C139" s="208">
        <f>SUM(C140:C145)</f>
        <v>0</v>
      </c>
    </row>
    <row r="140" spans="1:3" ht="12" customHeight="1">
      <c r="A140" s="444">
        <f>'KV_1.1.sz.mell.'!A140</f>
        <v>42</v>
      </c>
      <c r="B140" s="406" t="str">
        <f>'KV_1.1.sz.mell.'!B140</f>
        <v>Forgatási célú belföldi értékpapírok vásárlása</v>
      </c>
      <c r="C140" s="181"/>
    </row>
    <row r="141" spans="1:3" ht="12" customHeight="1">
      <c r="A141" s="444">
        <f>'KV_1.1.sz.mell.'!A141</f>
        <v>43</v>
      </c>
      <c r="B141" s="406" t="str">
        <f>'KV_1.1.sz.mell.'!B141</f>
        <v>Befektetési célú belföldi értékpapírok vásárlása</v>
      </c>
      <c r="C141" s="181"/>
    </row>
    <row r="142" spans="1:3" ht="12" customHeight="1">
      <c r="A142" s="444" t="str">
        <f>'KV_1.1.sz.mell.'!A142</f>
        <v>44</v>
      </c>
      <c r="B142" s="406" t="str">
        <f>'KV_1.1.sz.mell.'!B142</f>
        <v>Kincstárjegyek beváltása</v>
      </c>
      <c r="C142" s="181"/>
    </row>
    <row r="143" spans="1:3" ht="12" customHeight="1">
      <c r="A143" s="444" t="str">
        <f>'KV_1.1.sz.mell.'!A143</f>
        <v>45</v>
      </c>
      <c r="B143" s="406" t="str">
        <f>'KV_1.1.sz.mell.'!B143</f>
        <v>Éven belüli lejáratú belföldi értékpapírok beváltása</v>
      </c>
      <c r="C143" s="181"/>
    </row>
    <row r="144" spans="1:3" ht="12" customHeight="1">
      <c r="A144" s="444" t="str">
        <f>'KV_1.1.sz.mell.'!A144</f>
        <v>46</v>
      </c>
      <c r="B144" s="406" t="str">
        <f>'KV_1.1.sz.mell.'!B144</f>
        <v>Belföldi kötvények beváltása</v>
      </c>
      <c r="C144" s="183"/>
    </row>
    <row r="145" spans="1:3" ht="12" customHeight="1" thickBot="1">
      <c r="A145" s="594">
        <f>'KV_1.1.sz.mell.'!A145</f>
        <v>47</v>
      </c>
      <c r="B145" s="456" t="str">
        <f>'KV_1.1.sz.mell.'!B145</f>
        <v>Éven túli lejáratú belföldi értékpapírok beváltása</v>
      </c>
      <c r="C145" s="300"/>
    </row>
    <row r="146" spans="1:3" ht="12" customHeight="1" thickBot="1">
      <c r="A146" s="449">
        <f>'KV_1.1.sz.mell.'!A146</f>
        <v>48</v>
      </c>
      <c r="B146" s="90" t="str">
        <f>'KV_1.1.sz.mell.'!B146</f>
        <v>Belföldi finanszírozás kiadásai (49+ … + 52)</v>
      </c>
      <c r="C146" s="214">
        <f>+C147+C148+C149+C150</f>
        <v>0</v>
      </c>
    </row>
    <row r="147" spans="1:3" ht="12" customHeight="1">
      <c r="A147" s="444">
        <f>'KV_1.1.sz.mell.'!A147</f>
        <v>49</v>
      </c>
      <c r="B147" s="406" t="str">
        <f>'KV_1.1.sz.mell.'!B147</f>
        <v>Államháztartáson belüli megelőlegezések folyósítása</v>
      </c>
      <c r="C147" s="181"/>
    </row>
    <row r="148" spans="1:3" ht="12" customHeight="1">
      <c r="A148" s="444" t="str">
        <f>'KV_1.1.sz.mell.'!A148</f>
        <v>50</v>
      </c>
      <c r="B148" s="406" t="str">
        <f>'KV_1.1.sz.mell.'!B148</f>
        <v>Államháztartáson belüli megelőlegezések visszafizetése</v>
      </c>
      <c r="C148" s="181"/>
    </row>
    <row r="149" spans="1:3" ht="12" customHeight="1">
      <c r="A149" s="444" t="str">
        <f>'KV_1.1.sz.mell.'!A149</f>
        <v>51</v>
      </c>
      <c r="B149" s="406" t="str">
        <f>'KV_1.1.sz.mell.'!B149</f>
        <v>Pénzeszközök lekötött betétként elhelyezése</v>
      </c>
      <c r="C149" s="183"/>
    </row>
    <row r="150" spans="1:3" ht="12" customHeight="1" thickBot="1">
      <c r="A150" s="445">
        <f>'KV_1.1.sz.mell.'!A150</f>
        <v>52</v>
      </c>
      <c r="B150" s="406" t="str">
        <f>'KV_1.1.sz.mell.'!B150</f>
        <v>Pénzügyi lízing kiadásai</v>
      </c>
      <c r="C150" s="300"/>
    </row>
    <row r="151" spans="1:3" ht="12" customHeight="1" thickBot="1">
      <c r="A151" s="449">
        <f>'KV_1.1.sz.mell.'!A151</f>
        <v>53</v>
      </c>
      <c r="B151" s="90" t="str">
        <f>'KV_1.1.sz.mell.'!B151</f>
        <v>Külföldi finanszírozás kiadásai (54+ … + 58)</v>
      </c>
      <c r="C151" s="217">
        <f>SUM(C152:C156)</f>
        <v>0</v>
      </c>
    </row>
    <row r="152" spans="1:3" ht="12" customHeight="1">
      <c r="A152" s="444">
        <f>'KV_1.1.sz.mell.'!A152</f>
        <v>54</v>
      </c>
      <c r="B152" s="406" t="str">
        <f>'KV_1.1.sz.mell.'!B152</f>
        <v>Forgatási célú külföldi értékpapírok vásárlása</v>
      </c>
      <c r="C152" s="181"/>
    </row>
    <row r="153" spans="1:3" ht="12" customHeight="1">
      <c r="A153" s="444">
        <f>'KV_1.1.sz.mell.'!A153</f>
        <v>55</v>
      </c>
      <c r="B153" s="406" t="str">
        <f>'KV_1.1.sz.mell.'!B153</f>
        <v>Befektetési célú külföldi értékpapírok vásárlása</v>
      </c>
      <c r="C153" s="181"/>
    </row>
    <row r="154" spans="1:3" ht="12" customHeight="1">
      <c r="A154" s="444" t="str">
        <f>'KV_1.1.sz.mell.'!A154</f>
        <v>56</v>
      </c>
      <c r="B154" s="406" t="str">
        <f>'KV_1.1.sz.mell.'!B154</f>
        <v>Külföldi értékpapírok beváltása</v>
      </c>
      <c r="C154" s="181"/>
    </row>
    <row r="155" spans="1:3" ht="12" customHeight="1">
      <c r="A155" s="444" t="str">
        <f>'KV_1.1.sz.mell.'!A155</f>
        <v>57</v>
      </c>
      <c r="B155" s="406" t="str">
        <f>'KV_1.1.sz.mell.'!B155</f>
        <v>Hitelek, kölcsönök törlesztése külföldi kormányoknak nemz. szervezeteknek</v>
      </c>
      <c r="C155" s="181"/>
    </row>
    <row r="156" spans="1:3" ht="12" customHeight="1" thickBot="1">
      <c r="A156" s="444" t="str">
        <f>'KV_1.1.sz.mell.'!A156</f>
        <v>58</v>
      </c>
      <c r="B156" s="406" t="str">
        <f>'KV_1.1.sz.mell.'!B156</f>
        <v>Hitelek, kölcsönök törlesztése külföldi pénzintézeteknek</v>
      </c>
      <c r="C156" s="181"/>
    </row>
    <row r="157" spans="1:3" ht="12" customHeight="1" thickBot="1">
      <c r="A157" s="449">
        <f>'KV_1.1.sz.mell.'!A157</f>
        <v>59</v>
      </c>
      <c r="B157" s="90" t="str">
        <f>'KV_1.1.sz.mell.'!B157</f>
        <v>Adóssághoz nem kapcsolódó származékos ügyletek</v>
      </c>
      <c r="C157" s="299"/>
    </row>
    <row r="158" spans="1:3" ht="12" customHeight="1" thickBot="1">
      <c r="A158" s="449">
        <f>'KV_1.1.sz.mell.'!A158</f>
        <v>60</v>
      </c>
      <c r="B158" s="90" t="str">
        <f>'KV_1.1.sz.mell.'!B158</f>
        <v>Váltókiadások</v>
      </c>
      <c r="C158" s="299"/>
    </row>
    <row r="159" spans="1:9" ht="15" customHeight="1" thickBot="1">
      <c r="A159" s="449">
        <f>'KV_1.1.sz.mell.'!A159</f>
        <v>61</v>
      </c>
      <c r="B159" s="90" t="str">
        <f>'KV_1.1.sz.mell.'!B159</f>
        <v>FINANSZÍROZÁSI KIADÁSOK ÖSSZESEN: (37+41+48+53+59+60)</v>
      </c>
      <c r="C159" s="340">
        <f>+C135+C139+C146+C151+C157+C158</f>
        <v>0</v>
      </c>
      <c r="F159" s="268"/>
      <c r="G159" s="269"/>
      <c r="H159" s="269"/>
      <c r="I159" s="269"/>
    </row>
    <row r="160" spans="1:3" s="266" customFormat="1" ht="17.25" customHeight="1" thickBot="1">
      <c r="A160" s="449">
        <f>'KV_1.1.sz.mell.'!A160</f>
        <v>62</v>
      </c>
      <c r="B160" s="90" t="str">
        <f>'KV_1.1.sz.mell.'!B160</f>
        <v>KIADÁSOK ÖSSZESEN: (36.+61)</v>
      </c>
      <c r="C160" s="340">
        <f>+C134+C159</f>
        <v>0</v>
      </c>
    </row>
    <row r="161" spans="1:3" ht="10.5" customHeight="1">
      <c r="A161" s="520"/>
      <c r="B161" s="515"/>
      <c r="C161" s="376">
        <f>C93-C160</f>
        <v>0</v>
      </c>
    </row>
    <row r="162" spans="1:3" ht="15.75">
      <c r="A162" s="828" t="str">
        <f>'KV_1.1.sz.mell.'!A162</f>
        <v>KÖLTSÉGVETÉSI, FINANSZÍROZÁSI BEVÉTELEK ÉS KIADÁSOK EGYENLEGE</v>
      </c>
      <c r="B162" s="828"/>
      <c r="C162" s="828"/>
    </row>
    <row r="163" spans="1:3" ht="15" customHeight="1" thickBot="1">
      <c r="A163" s="827"/>
      <c r="B163" s="827"/>
      <c r="C163" s="524" t="str">
        <f>'KV_1.1.sz.mell.'!C163</f>
        <v>Forintban!</v>
      </c>
    </row>
    <row r="164" spans="1:4" ht="13.5" customHeight="1" thickBot="1">
      <c r="A164" s="447">
        <f>'KV_1.1.sz.mell.'!A164</f>
        <v>1</v>
      </c>
      <c r="B164" s="12" t="str">
        <f>'KV_1.1.sz.mell.'!B164</f>
        <v>Költségvetési hiány, többlet ( költségvetési bevételek 59. sor - költségvetési kiadások 36. sor) (+/-)</v>
      </c>
      <c r="C164" s="208">
        <f>+C68-C134</f>
        <v>0</v>
      </c>
      <c r="D164" s="270"/>
    </row>
    <row r="165" spans="1:3" ht="27.75" customHeight="1" thickBot="1">
      <c r="A165" s="447">
        <f>'KV_1.1.sz.mell.'!A165</f>
        <v>2</v>
      </c>
      <c r="B165" s="12" t="str">
        <f>'KV_1.1.sz.mell.'!B165</f>
        <v>Finanszírozási bevételek, kiadások egyenlege (finanszírozási bevételek 83. sor - finanszírozási kiadások 61. sor)
 (+/-)</v>
      </c>
      <c r="C165" s="208">
        <f>C92-C159</f>
        <v>0</v>
      </c>
    </row>
  </sheetData>
  <sheetProtection sheet="1"/>
  <mergeCells count="10">
    <mergeCell ref="A163:B163"/>
    <mergeCell ref="B1:C1"/>
    <mergeCell ref="A6:C6"/>
    <mergeCell ref="A7:B7"/>
    <mergeCell ref="A95:C95"/>
    <mergeCell ref="A96:B96"/>
    <mergeCell ref="A162:C162"/>
    <mergeCell ref="A2:C2"/>
    <mergeCell ref="A3:C3"/>
    <mergeCell ref="A4:C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8" max="2" man="1"/>
    <brk id="145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10" zoomScaleNormal="110" zoomScaleSheetLayoutView="100" workbookViewId="0" topLeftCell="A1">
      <selection activeCell="I15" sqref="I15"/>
    </sheetView>
  </sheetViews>
  <sheetFormatPr defaultColWidth="9.00390625" defaultRowHeight="12.75"/>
  <cols>
    <col min="1" max="1" width="6.875" style="32" customWidth="1"/>
    <col min="2" max="2" width="55.125" style="131" customWidth="1"/>
    <col min="3" max="3" width="16.375" style="32" customWidth="1"/>
    <col min="4" max="4" width="55.125" style="32" customWidth="1"/>
    <col min="5" max="5" width="16.375" style="32" customWidth="1"/>
    <col min="6" max="16384" width="9.375" style="32" customWidth="1"/>
  </cols>
  <sheetData>
    <row r="1" spans="3:5" ht="12.75">
      <c r="C1" s="840" t="s">
        <v>872</v>
      </c>
      <c r="D1" s="841"/>
      <c r="E1" s="841"/>
    </row>
    <row r="2" spans="2:5" ht="39.75" customHeight="1">
      <c r="B2" s="226" t="s">
        <v>117</v>
      </c>
      <c r="C2" s="227"/>
      <c r="D2" s="227"/>
      <c r="E2" s="227"/>
    </row>
    <row r="3" spans="1:5" ht="13.5" thickBot="1">
      <c r="A3" s="838"/>
      <c r="B3" s="839"/>
      <c r="E3" s="343" t="str">
        <f>CONCATENATE('KV_1.1.sz.mell.'!C7)</f>
        <v>Forintban!</v>
      </c>
    </row>
    <row r="4" spans="1:5" ht="18" customHeight="1" thickBot="1">
      <c r="A4" s="835" t="s">
        <v>65</v>
      </c>
      <c r="B4" s="228" t="s">
        <v>53</v>
      </c>
      <c r="C4" s="229"/>
      <c r="D4" s="228" t="s">
        <v>54</v>
      </c>
      <c r="E4" s="230"/>
    </row>
    <row r="5" spans="1:5" s="231" customFormat="1" ht="35.25" customHeight="1" thickBot="1">
      <c r="A5" s="836"/>
      <c r="B5" s="132" t="s">
        <v>57</v>
      </c>
      <c r="C5" s="133" t="str">
        <f>+'KV_1.1.sz.mell.'!C8</f>
        <v>2023. évi előirányzat</v>
      </c>
      <c r="D5" s="132" t="s">
        <v>57</v>
      </c>
      <c r="E5" s="29" t="str">
        <f>+C5</f>
        <v>2023. évi előirányzat</v>
      </c>
    </row>
    <row r="6" spans="1:5" s="236" customFormat="1" ht="12" customHeight="1" thickBot="1">
      <c r="A6" s="232"/>
      <c r="B6" s="233" t="s">
        <v>294</v>
      </c>
      <c r="C6" s="234" t="s">
        <v>295</v>
      </c>
      <c r="D6" s="233" t="s">
        <v>296</v>
      </c>
      <c r="E6" s="235" t="s">
        <v>298</v>
      </c>
    </row>
    <row r="7" spans="1:5" ht="12.75" customHeight="1">
      <c r="A7" s="444">
        <v>1</v>
      </c>
      <c r="B7" s="238" t="s">
        <v>244</v>
      </c>
      <c r="C7" s="219">
        <v>674575246</v>
      </c>
      <c r="D7" s="237" t="s">
        <v>58</v>
      </c>
      <c r="E7" s="223">
        <v>205810000</v>
      </c>
    </row>
    <row r="8" spans="1:5" ht="12.75" customHeight="1">
      <c r="A8" s="461">
        <v>2</v>
      </c>
      <c r="B8" s="238" t="s">
        <v>585</v>
      </c>
      <c r="C8" s="220"/>
      <c r="D8" s="238" t="s">
        <v>131</v>
      </c>
      <c r="E8" s="224">
        <v>27295170</v>
      </c>
    </row>
    <row r="9" spans="1:5" ht="12.75" customHeight="1">
      <c r="A9" s="461" t="s">
        <v>442</v>
      </c>
      <c r="B9" s="238" t="s">
        <v>130</v>
      </c>
      <c r="C9" s="220">
        <v>369000000</v>
      </c>
      <c r="D9" s="238" t="s">
        <v>167</v>
      </c>
      <c r="E9" s="224">
        <v>212486845</v>
      </c>
    </row>
    <row r="10" spans="1:5" ht="12.75" customHeight="1">
      <c r="A10" s="461" t="s">
        <v>443</v>
      </c>
      <c r="B10" s="259" t="s">
        <v>265</v>
      </c>
      <c r="C10" s="220">
        <v>122319900</v>
      </c>
      <c r="D10" s="238" t="s">
        <v>132</v>
      </c>
      <c r="E10" s="224">
        <v>17960000</v>
      </c>
    </row>
    <row r="11" spans="1:5" ht="12.75" customHeight="1">
      <c r="A11" s="461" t="s">
        <v>444</v>
      </c>
      <c r="B11" s="238" t="s">
        <v>245</v>
      </c>
      <c r="C11" s="220"/>
      <c r="D11" s="238" t="s">
        <v>133</v>
      </c>
      <c r="E11" s="224">
        <v>880804770</v>
      </c>
    </row>
    <row r="12" spans="1:5" ht="12.75" customHeight="1">
      <c r="A12" s="461" t="s">
        <v>445</v>
      </c>
      <c r="B12" s="238" t="s">
        <v>586</v>
      </c>
      <c r="C12" s="221"/>
      <c r="D12" s="238"/>
      <c r="E12" s="224"/>
    </row>
    <row r="13" spans="1:5" ht="12.75" customHeight="1">
      <c r="A13" s="461" t="s">
        <v>446</v>
      </c>
      <c r="B13" s="238" t="s">
        <v>204</v>
      </c>
      <c r="C13" s="220">
        <v>32254059</v>
      </c>
      <c r="D13" s="24"/>
      <c r="E13" s="224"/>
    </row>
    <row r="14" spans="1:5" ht="12.75" customHeight="1">
      <c r="A14" s="461" t="s">
        <v>462</v>
      </c>
      <c r="B14" s="24"/>
      <c r="C14" s="220"/>
      <c r="D14" s="24"/>
      <c r="E14" s="224"/>
    </row>
    <row r="15" spans="1:5" ht="12.75" customHeight="1">
      <c r="A15" s="461" t="s">
        <v>440</v>
      </c>
      <c r="B15" s="272"/>
      <c r="C15" s="221"/>
      <c r="D15" s="24" t="s">
        <v>859</v>
      </c>
      <c r="E15" s="224">
        <v>10000000</v>
      </c>
    </row>
    <row r="16" spans="1:5" ht="12.75" customHeight="1">
      <c r="A16" s="461" t="s">
        <v>353</v>
      </c>
      <c r="B16" s="24"/>
      <c r="C16" s="220"/>
      <c r="D16" s="24" t="s">
        <v>860</v>
      </c>
      <c r="E16" s="224">
        <v>12185957</v>
      </c>
    </row>
    <row r="17" spans="1:5" ht="12.75" customHeight="1">
      <c r="A17" s="461" t="s">
        <v>354</v>
      </c>
      <c r="B17" s="24"/>
      <c r="C17" s="220"/>
      <c r="D17" s="24"/>
      <c r="E17" s="224"/>
    </row>
    <row r="18" spans="1:5" ht="12.75" customHeight="1" thickBot="1">
      <c r="A18" s="445" t="s">
        <v>355</v>
      </c>
      <c r="B18" s="34"/>
      <c r="C18" s="222"/>
      <c r="D18" s="34"/>
      <c r="E18" s="225"/>
    </row>
    <row r="19" spans="1:5" ht="15.75" customHeight="1" thickBot="1">
      <c r="A19" s="597" t="s">
        <v>447</v>
      </c>
      <c r="B19" s="598" t="s">
        <v>569</v>
      </c>
      <c r="C19" s="395">
        <f>C7+C9+C10+C11+C13+C14+C15+C16+C17+C18</f>
        <v>1198149205</v>
      </c>
      <c r="D19" s="598" t="s">
        <v>573</v>
      </c>
      <c r="E19" s="243">
        <f>SUM(E7:E14)+E17+E18</f>
        <v>1344356785</v>
      </c>
    </row>
    <row r="20" spans="1:5" ht="12.75" customHeight="1">
      <c r="A20" s="444" t="s">
        <v>448</v>
      </c>
      <c r="B20" s="259" t="s">
        <v>246</v>
      </c>
      <c r="C20" s="599">
        <f>SUM(C21:C24)</f>
        <v>173028675</v>
      </c>
      <c r="D20" s="416" t="s">
        <v>135</v>
      </c>
      <c r="E20" s="241"/>
    </row>
    <row r="21" spans="1:5" ht="12.75" customHeight="1">
      <c r="A21" s="444" t="s">
        <v>463</v>
      </c>
      <c r="B21" s="600" t="s">
        <v>580</v>
      </c>
      <c r="C21" s="220">
        <v>173028675</v>
      </c>
      <c r="D21" s="416" t="s">
        <v>247</v>
      </c>
      <c r="E21" s="224"/>
    </row>
    <row r="22" spans="1:5" ht="12.75" customHeight="1">
      <c r="A22" s="444" t="s">
        <v>449</v>
      </c>
      <c r="B22" s="600" t="s">
        <v>581</v>
      </c>
      <c r="C22" s="220"/>
      <c r="D22" s="416" t="s">
        <v>115</v>
      </c>
      <c r="E22" s="224"/>
    </row>
    <row r="23" spans="1:5" ht="12.75" customHeight="1">
      <c r="A23" s="444" t="s">
        <v>450</v>
      </c>
      <c r="B23" s="600" t="s">
        <v>582</v>
      </c>
      <c r="C23" s="220"/>
      <c r="D23" s="416" t="s">
        <v>116</v>
      </c>
      <c r="E23" s="224"/>
    </row>
    <row r="24" spans="1:5" ht="12.75" customHeight="1">
      <c r="A24" s="444" t="s">
        <v>451</v>
      </c>
      <c r="B24" s="600" t="s">
        <v>172</v>
      </c>
      <c r="C24" s="220"/>
      <c r="D24" s="418" t="s">
        <v>168</v>
      </c>
      <c r="E24" s="224"/>
    </row>
    <row r="25" spans="1:5" ht="12.75" customHeight="1">
      <c r="A25" s="444" t="s">
        <v>452</v>
      </c>
      <c r="B25" s="238" t="s">
        <v>570</v>
      </c>
      <c r="C25" s="601">
        <f>+C26+C27</f>
        <v>0</v>
      </c>
      <c r="D25" s="417" t="s">
        <v>136</v>
      </c>
      <c r="E25" s="224"/>
    </row>
    <row r="26" spans="1:5" ht="12.75" customHeight="1">
      <c r="A26" s="444" t="s">
        <v>453</v>
      </c>
      <c r="B26" s="602" t="s">
        <v>176</v>
      </c>
      <c r="C26" s="391"/>
      <c r="D26" s="416" t="s">
        <v>288</v>
      </c>
      <c r="E26" s="241"/>
    </row>
    <row r="27" spans="1:5" ht="12.75" customHeight="1">
      <c r="A27" s="444" t="s">
        <v>454</v>
      </c>
      <c r="B27" s="600" t="s">
        <v>220</v>
      </c>
      <c r="C27" s="220"/>
      <c r="D27" s="416" t="s">
        <v>221</v>
      </c>
      <c r="E27" s="224">
        <v>26821095</v>
      </c>
    </row>
    <row r="28" spans="1:5" ht="12.75" customHeight="1">
      <c r="A28" s="444" t="s">
        <v>464</v>
      </c>
      <c r="B28" s="600" t="s">
        <v>293</v>
      </c>
      <c r="C28" s="220"/>
      <c r="D28" s="416" t="s">
        <v>291</v>
      </c>
      <c r="E28" s="224"/>
    </row>
    <row r="29" spans="1:5" ht="12.75" customHeight="1" thickBot="1">
      <c r="A29" s="445" t="s">
        <v>455</v>
      </c>
      <c r="B29" s="602" t="s">
        <v>226</v>
      </c>
      <c r="C29" s="391"/>
      <c r="D29" s="596" t="s">
        <v>292</v>
      </c>
      <c r="E29" s="241"/>
    </row>
    <row r="30" spans="1:5" ht="15.75" customHeight="1" thickBot="1">
      <c r="A30" s="597" t="s">
        <v>456</v>
      </c>
      <c r="B30" s="598" t="s">
        <v>571</v>
      </c>
      <c r="C30" s="395">
        <f>+C20+C25+C28+C29</f>
        <v>173028675</v>
      </c>
      <c r="D30" s="598" t="s">
        <v>574</v>
      </c>
      <c r="E30" s="243">
        <f>SUM(E20:E29)</f>
        <v>26821095</v>
      </c>
    </row>
    <row r="31" spans="1:5" ht="13.5" thickBot="1">
      <c r="A31" s="597" t="s">
        <v>457</v>
      </c>
      <c r="B31" s="598" t="s">
        <v>572</v>
      </c>
      <c r="C31" s="242">
        <f>+C19+C30</f>
        <v>1371177880</v>
      </c>
      <c r="D31" s="598" t="s">
        <v>575</v>
      </c>
      <c r="E31" s="242">
        <f>+E19+E30</f>
        <v>1371177880</v>
      </c>
    </row>
    <row r="32" spans="1:5" ht="13.5" thickBot="1">
      <c r="A32" s="597" t="s">
        <v>458</v>
      </c>
      <c r="B32" s="598" t="s">
        <v>128</v>
      </c>
      <c r="C32" s="242">
        <f>IF(C19-E19&lt;0,E19-C19,"-")</f>
        <v>146207580</v>
      </c>
      <c r="D32" s="598" t="s">
        <v>129</v>
      </c>
      <c r="E32" s="242" t="str">
        <f>IF(C19-E19&gt;0,C19-E19,"-")</f>
        <v>-</v>
      </c>
    </row>
    <row r="33" spans="1:5" ht="13.5" thickBot="1">
      <c r="A33" s="597" t="s">
        <v>459</v>
      </c>
      <c r="B33" s="598" t="s">
        <v>320</v>
      </c>
      <c r="C33" s="242" t="str">
        <f>IF(C31-E31&lt;0,E31-C31,"-")</f>
        <v>-</v>
      </c>
      <c r="D33" s="598" t="s">
        <v>321</v>
      </c>
      <c r="E33" s="242" t="str">
        <f>IF(C31-E31&gt;0,C31-E31,"-")</f>
        <v>-</v>
      </c>
    </row>
    <row r="34" spans="1:5" ht="15.75">
      <c r="A34" s="837">
        <f>IF(C33&lt;&gt;"-","Nem lehet bruttó hiány, mert az Mötv. 111. § (4) bekezédse szerint A költségvetési rendeletben működési hiány nem tervezhető.","")</f>
      </c>
      <c r="B34" s="837"/>
      <c r="C34" s="837"/>
      <c r="D34" s="837"/>
      <c r="E34" s="837"/>
    </row>
  </sheetData>
  <sheetProtection/>
  <mergeCells count="4">
    <mergeCell ref="A4:A5"/>
    <mergeCell ref="A34:E34"/>
    <mergeCell ref="A3:B3"/>
    <mergeCell ref="C1:E1"/>
  </mergeCells>
  <conditionalFormatting sqref="C33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M14" sqref="M14"/>
    </sheetView>
  </sheetViews>
  <sheetFormatPr defaultColWidth="9.00390625" defaultRowHeight="12.75"/>
  <cols>
    <col min="1" max="1" width="6.875" style="32" customWidth="1"/>
    <col min="2" max="2" width="55.125" style="131" customWidth="1"/>
    <col min="3" max="3" width="16.375" style="32" customWidth="1"/>
    <col min="4" max="4" width="55.125" style="32" customWidth="1"/>
    <col min="5" max="5" width="16.375" style="32" customWidth="1"/>
    <col min="6" max="6" width="4.875" style="32" hidden="1" customWidth="1"/>
    <col min="7" max="16384" width="9.375" style="32" customWidth="1"/>
  </cols>
  <sheetData>
    <row r="1" spans="2:6" ht="31.5" customHeight="1">
      <c r="B1" s="843" t="s">
        <v>118</v>
      </c>
      <c r="C1" s="844"/>
      <c r="D1" s="844"/>
      <c r="E1" s="817"/>
      <c r="F1" s="842" t="str">
        <f>CONCATENATE("2.2. melléklet ",ALAPADATOK!A7," ",ALAPADATOK!B7," ",ALAPADATOK!C7," ",ALAPADATOK!D7," ",ALAPADATOK!E7," ",ALAPADATOK!F7," ",ALAPADATOK!G7," ",ALAPADATOK!H7)</f>
        <v>2.2. melléklet a … / 2023. ( … ) önkormányzati rendelethez</v>
      </c>
    </row>
    <row r="2" spans="1:6" ht="13.5" thickBot="1">
      <c r="A2" s="838"/>
      <c r="B2" s="838"/>
      <c r="E2" s="342" t="str">
        <f>CONCATENATE('KV_1.1.sz.mell.'!C7)</f>
        <v>Forintban!</v>
      </c>
      <c r="F2" s="842"/>
    </row>
    <row r="3" spans="1:6" ht="13.5" customHeight="1" thickBot="1">
      <c r="A3" s="835" t="s">
        <v>65</v>
      </c>
      <c r="B3" s="132" t="s">
        <v>53</v>
      </c>
      <c r="C3" s="133"/>
      <c r="D3" s="132" t="s">
        <v>54</v>
      </c>
      <c r="E3" s="29"/>
      <c r="F3" s="842"/>
    </row>
    <row r="4" spans="1:6" s="231" customFormat="1" ht="24.75" thickBot="1">
      <c r="A4" s="836"/>
      <c r="B4" s="132" t="s">
        <v>57</v>
      </c>
      <c r="C4" s="133" t="str">
        <f>+'KV_2.1.sz.mell.'!C5</f>
        <v>2023. évi előirányzat</v>
      </c>
      <c r="D4" s="132" t="s">
        <v>57</v>
      </c>
      <c r="E4" s="29" t="str">
        <f>+'KV_2.1.sz.mell.'!C5</f>
        <v>2023. évi előirányzat</v>
      </c>
      <c r="F4" s="842"/>
    </row>
    <row r="5" spans="1:6" s="231" customFormat="1" ht="13.5" thickBot="1">
      <c r="A5" s="232"/>
      <c r="B5" s="233" t="s">
        <v>294</v>
      </c>
      <c r="C5" s="234" t="s">
        <v>295</v>
      </c>
      <c r="D5" s="233" t="s">
        <v>296</v>
      </c>
      <c r="E5" s="235" t="s">
        <v>298</v>
      </c>
      <c r="F5" s="842"/>
    </row>
    <row r="6" spans="1:6" ht="12.75" customHeight="1">
      <c r="A6" s="444" t="s">
        <v>542</v>
      </c>
      <c r="B6" s="237" t="s">
        <v>248</v>
      </c>
      <c r="C6" s="219">
        <v>54557620</v>
      </c>
      <c r="D6" s="237" t="s">
        <v>165</v>
      </c>
      <c r="E6" s="223">
        <v>157563979</v>
      </c>
      <c r="F6" s="842"/>
    </row>
    <row r="7" spans="1:6" ht="12.75">
      <c r="A7" s="444" t="s">
        <v>441</v>
      </c>
      <c r="B7" s="238" t="s">
        <v>249</v>
      </c>
      <c r="C7" s="220">
        <v>54557620</v>
      </c>
      <c r="D7" s="238" t="s">
        <v>253</v>
      </c>
      <c r="E7" s="224">
        <v>93201481</v>
      </c>
      <c r="F7" s="842"/>
    </row>
    <row r="8" spans="1:6" ht="12.75" customHeight="1">
      <c r="A8" s="444" t="s">
        <v>442</v>
      </c>
      <c r="B8" s="238" t="s">
        <v>9</v>
      </c>
      <c r="C8" s="220">
        <v>69000000</v>
      </c>
      <c r="D8" s="238" t="s">
        <v>134</v>
      </c>
      <c r="E8" s="224">
        <v>9700000</v>
      </c>
      <c r="F8" s="842"/>
    </row>
    <row r="9" spans="1:6" ht="12.75" customHeight="1">
      <c r="A9" s="444" t="s">
        <v>443</v>
      </c>
      <c r="B9" s="238" t="s">
        <v>250</v>
      </c>
      <c r="C9" s="220"/>
      <c r="D9" s="238" t="s">
        <v>254</v>
      </c>
      <c r="E9" s="224"/>
      <c r="F9" s="842"/>
    </row>
    <row r="10" spans="1:6" ht="12.75" customHeight="1">
      <c r="A10" s="444" t="s">
        <v>444</v>
      </c>
      <c r="B10" s="238" t="s">
        <v>251</v>
      </c>
      <c r="C10" s="220"/>
      <c r="D10" s="238" t="s">
        <v>166</v>
      </c>
      <c r="E10" s="224">
        <v>215900</v>
      </c>
      <c r="F10" s="842"/>
    </row>
    <row r="11" spans="1:6" ht="12.75" customHeight="1">
      <c r="A11" s="444" t="s">
        <v>445</v>
      </c>
      <c r="B11" s="238" t="s">
        <v>252</v>
      </c>
      <c r="C11" s="221"/>
      <c r="D11" s="807" t="s">
        <v>858</v>
      </c>
      <c r="E11" s="224">
        <v>15039516</v>
      </c>
      <c r="F11" s="842"/>
    </row>
    <row r="12" spans="1:6" ht="12.75" customHeight="1">
      <c r="A12" s="444" t="s">
        <v>446</v>
      </c>
      <c r="B12" s="24"/>
      <c r="C12" s="220"/>
      <c r="D12" s="273"/>
      <c r="E12" s="224"/>
      <c r="F12" s="842"/>
    </row>
    <row r="13" spans="1:6" ht="12.75" customHeight="1">
      <c r="A13" s="444" t="s">
        <v>462</v>
      </c>
      <c r="B13" s="24"/>
      <c r="C13" s="220"/>
      <c r="D13" s="273"/>
      <c r="E13" s="224"/>
      <c r="F13" s="842"/>
    </row>
    <row r="14" spans="1:6" ht="12.75" customHeight="1">
      <c r="A14" s="444" t="s">
        <v>440</v>
      </c>
      <c r="B14" s="271"/>
      <c r="C14" s="221"/>
      <c r="D14" s="273"/>
      <c r="E14" s="224"/>
      <c r="F14" s="842"/>
    </row>
    <row r="15" spans="1:6" ht="12.75">
      <c r="A15" s="444" t="s">
        <v>353</v>
      </c>
      <c r="B15" s="24"/>
      <c r="C15" s="221"/>
      <c r="D15" s="273"/>
      <c r="E15" s="224"/>
      <c r="F15" s="842"/>
    </row>
    <row r="16" spans="1:6" ht="12.75" customHeight="1" thickBot="1">
      <c r="A16" s="445" t="s">
        <v>354</v>
      </c>
      <c r="B16" s="272"/>
      <c r="C16" s="260"/>
      <c r="D16" s="259"/>
      <c r="E16" s="241"/>
      <c r="F16" s="842"/>
    </row>
    <row r="17" spans="1:6" ht="15.75" customHeight="1" thickBot="1">
      <c r="A17" s="603" t="s">
        <v>355</v>
      </c>
      <c r="B17" s="598" t="s">
        <v>576</v>
      </c>
      <c r="C17" s="395">
        <f>+C6+C8+C9+C11+C12+C13+C14+C15+C16</f>
        <v>123557620</v>
      </c>
      <c r="D17" s="598" t="s">
        <v>578</v>
      </c>
      <c r="E17" s="243">
        <f>+E6+E8+E10+E11+E12+E13+E14+E15+E16</f>
        <v>182519395</v>
      </c>
      <c r="F17" s="842"/>
    </row>
    <row r="18" spans="1:6" ht="12.75" customHeight="1">
      <c r="A18" s="461" t="s">
        <v>447</v>
      </c>
      <c r="B18" s="604" t="s">
        <v>179</v>
      </c>
      <c r="C18" s="605">
        <f>SUM(C19:C23)</f>
        <v>60197744</v>
      </c>
      <c r="D18" s="237" t="s">
        <v>135</v>
      </c>
      <c r="E18" s="223"/>
      <c r="F18" s="842"/>
    </row>
    <row r="19" spans="1:6" ht="12.75" customHeight="1">
      <c r="A19" s="461" t="s">
        <v>448</v>
      </c>
      <c r="B19" s="606" t="s">
        <v>169</v>
      </c>
      <c r="C19" s="220">
        <v>60197744</v>
      </c>
      <c r="D19" s="238" t="s">
        <v>138</v>
      </c>
      <c r="E19" s="224"/>
      <c r="F19" s="842"/>
    </row>
    <row r="20" spans="1:6" ht="12.75" customHeight="1">
      <c r="A20" s="461" t="s">
        <v>463</v>
      </c>
      <c r="B20" s="606" t="s">
        <v>170</v>
      </c>
      <c r="C20" s="220"/>
      <c r="D20" s="238" t="s">
        <v>115</v>
      </c>
      <c r="E20" s="224"/>
      <c r="F20" s="842"/>
    </row>
    <row r="21" spans="1:6" ht="12.75" customHeight="1">
      <c r="A21" s="461" t="s">
        <v>449</v>
      </c>
      <c r="B21" s="606" t="s">
        <v>171</v>
      </c>
      <c r="C21" s="220"/>
      <c r="D21" s="238" t="s">
        <v>116</v>
      </c>
      <c r="E21" s="224"/>
      <c r="F21" s="842"/>
    </row>
    <row r="22" spans="1:6" ht="12.75" customHeight="1">
      <c r="A22" s="461" t="s">
        <v>450</v>
      </c>
      <c r="B22" s="606" t="s">
        <v>172</v>
      </c>
      <c r="C22" s="220"/>
      <c r="D22" s="259" t="s">
        <v>168</v>
      </c>
      <c r="E22" s="224"/>
      <c r="F22" s="842"/>
    </row>
    <row r="23" spans="1:6" ht="12.75" customHeight="1">
      <c r="A23" s="461" t="s">
        <v>451</v>
      </c>
      <c r="B23" s="606" t="s">
        <v>173</v>
      </c>
      <c r="C23" s="220"/>
      <c r="D23" s="238" t="s">
        <v>139</v>
      </c>
      <c r="E23" s="224"/>
      <c r="F23" s="842"/>
    </row>
    <row r="24" spans="1:6" ht="12.75" customHeight="1">
      <c r="A24" s="461" t="s">
        <v>452</v>
      </c>
      <c r="B24" s="607" t="s">
        <v>174</v>
      </c>
      <c r="C24" s="601">
        <f>+C25+C26+C27+C28+C29</f>
        <v>0</v>
      </c>
      <c r="D24" s="237" t="s">
        <v>137</v>
      </c>
      <c r="E24" s="224"/>
      <c r="F24" s="842"/>
    </row>
    <row r="25" spans="1:6" ht="12.75" customHeight="1">
      <c r="A25" s="461" t="s">
        <v>453</v>
      </c>
      <c r="B25" s="606" t="s">
        <v>175</v>
      </c>
      <c r="C25" s="220"/>
      <c r="D25" s="237" t="s">
        <v>255</v>
      </c>
      <c r="E25" s="224">
        <v>1235969</v>
      </c>
      <c r="F25" s="842"/>
    </row>
    <row r="26" spans="1:6" ht="12.75" customHeight="1">
      <c r="A26" s="461" t="s">
        <v>454</v>
      </c>
      <c r="B26" s="606" t="s">
        <v>176</v>
      </c>
      <c r="C26" s="220"/>
      <c r="D26" s="82" t="s">
        <v>221</v>
      </c>
      <c r="E26" s="224"/>
      <c r="F26" s="842"/>
    </row>
    <row r="27" spans="1:6" ht="12.75" customHeight="1">
      <c r="A27" s="461" t="s">
        <v>464</v>
      </c>
      <c r="B27" s="606" t="s">
        <v>177</v>
      </c>
      <c r="C27" s="220"/>
      <c r="D27" s="82"/>
      <c r="E27" s="224"/>
      <c r="F27" s="842"/>
    </row>
    <row r="28" spans="1:6" ht="12.75" customHeight="1">
      <c r="A28" s="461" t="s">
        <v>455</v>
      </c>
      <c r="B28" s="239" t="s">
        <v>178</v>
      </c>
      <c r="C28" s="220"/>
      <c r="D28" s="24"/>
      <c r="E28" s="224"/>
      <c r="F28" s="842"/>
    </row>
    <row r="29" spans="1:6" ht="12.75" customHeight="1" thickBot="1">
      <c r="A29" s="462" t="s">
        <v>456</v>
      </c>
      <c r="B29" s="240" t="s">
        <v>220</v>
      </c>
      <c r="C29" s="222"/>
      <c r="D29" s="272"/>
      <c r="E29" s="225"/>
      <c r="F29" s="842"/>
    </row>
    <row r="30" spans="1:6" ht="21.75" customHeight="1" thickBot="1">
      <c r="A30" s="603" t="s">
        <v>457</v>
      </c>
      <c r="B30" s="598" t="s">
        <v>577</v>
      </c>
      <c r="C30" s="395">
        <f>+C18+C24</f>
        <v>60197744</v>
      </c>
      <c r="D30" s="598" t="s">
        <v>579</v>
      </c>
      <c r="E30" s="243">
        <f>SUM(E18:E29)</f>
        <v>1235969</v>
      </c>
      <c r="F30" s="842"/>
    </row>
    <row r="31" spans="1:6" ht="13.5" thickBot="1">
      <c r="A31" s="603" t="s">
        <v>458</v>
      </c>
      <c r="B31" s="598" t="s">
        <v>256</v>
      </c>
      <c r="C31" s="242">
        <f>+C17+C30</f>
        <v>183755364</v>
      </c>
      <c r="D31" s="598" t="s">
        <v>257</v>
      </c>
      <c r="E31" s="242">
        <f>+E17+E30</f>
        <v>183755364</v>
      </c>
      <c r="F31" s="842"/>
    </row>
    <row r="32" spans="1:6" ht="13.5" thickBot="1">
      <c r="A32" s="603" t="s">
        <v>459</v>
      </c>
      <c r="B32" s="598" t="s">
        <v>128</v>
      </c>
      <c r="C32" s="242">
        <f>IF(C17-E17&lt;0,E17-C17,"-")</f>
        <v>58961775</v>
      </c>
      <c r="D32" s="598" t="s">
        <v>129</v>
      </c>
      <c r="E32" s="242" t="str">
        <f>IF(C17-E17&gt;0,C17-E17,"-")</f>
        <v>-</v>
      </c>
      <c r="F32" s="842"/>
    </row>
    <row r="33" spans="1:6" ht="13.5" thickBot="1">
      <c r="A33" s="597" t="s">
        <v>460</v>
      </c>
      <c r="B33" s="598" t="s">
        <v>320</v>
      </c>
      <c r="C33" s="242" t="str">
        <f>IF(C31-E31&lt;0,E31-C31,"-")</f>
        <v>-</v>
      </c>
      <c r="D33" s="598" t="s">
        <v>321</v>
      </c>
      <c r="E33" s="242" t="str">
        <f>IF(C31-E31&gt;0,C31-E31,"-")</f>
        <v>-</v>
      </c>
      <c r="F33" s="842"/>
    </row>
  </sheetData>
  <sheetProtection/>
  <mergeCells count="4">
    <mergeCell ref="A3:A4"/>
    <mergeCell ref="F1:F33"/>
    <mergeCell ref="A2:B2"/>
    <mergeCell ref="B1:D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Pénzügy2</cp:lastModifiedBy>
  <cp:lastPrinted>2023-02-07T13:53:49Z</cp:lastPrinted>
  <dcterms:created xsi:type="dcterms:W3CDTF">1999-10-30T10:30:45Z</dcterms:created>
  <dcterms:modified xsi:type="dcterms:W3CDTF">2023-02-09T06:46:53Z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