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3\2023.04.26. együttes\80.sz.et. KÖH költségvetés I. mód\"/>
    </mc:Choice>
  </mc:AlternateContent>
  <bookViews>
    <workbookView xWindow="0" yWindow="0" windowWidth="28800" windowHeight="11505"/>
  </bookViews>
  <sheets>
    <sheet name="Költségvetés képletes" sheetId="17" r:id="rId1"/>
    <sheet name="1.mell.Kiadások" sheetId="8" r:id="rId2"/>
    <sheet name="2.mell.Bevételek" sheetId="5" r:id="rId3"/>
    <sheet name="Arányszámok" sheetId="14" r:id="rId4"/>
  </sheets>
  <externalReferences>
    <externalReference r:id="rId5"/>
    <externalReference r:id="rId6"/>
  </externalReferences>
  <definedNames>
    <definedName name="_xlnm.Print_Area" localSheetId="1">'1.mell.Kiadások'!$A$1:$T$22</definedName>
    <definedName name="_xlnm.Print_Area" localSheetId="2">'2.mell.Bevételek'!$A$1:$P$23</definedName>
  </definedNames>
  <calcPr calcId="162913"/>
</workbook>
</file>

<file path=xl/calcChain.xml><?xml version="1.0" encoding="utf-8"?>
<calcChain xmlns="http://schemas.openxmlformats.org/spreadsheetml/2006/main">
  <c r="P2" i="5" l="1"/>
  <c r="C54" i="17"/>
  <c r="C53" i="17" s="1"/>
  <c r="C52" i="17"/>
  <c r="C50" i="17"/>
  <c r="C38" i="17"/>
  <c r="C31" i="17"/>
  <c r="C26" i="17"/>
  <c r="C20" i="17"/>
  <c r="C15" i="17"/>
  <c r="C14" i="17"/>
  <c r="C11" i="17"/>
  <c r="C10" i="17"/>
  <c r="C8" i="17" s="1"/>
  <c r="C37" i="17" s="1"/>
  <c r="B2" i="17"/>
  <c r="N3" i="8"/>
  <c r="N11" i="8"/>
  <c r="C42" i="17" l="1"/>
  <c r="C47" i="17"/>
  <c r="C59" i="17" s="1"/>
  <c r="O3" i="8"/>
  <c r="S3" i="8"/>
  <c r="R3" i="8"/>
  <c r="D20" i="8"/>
  <c r="D4" i="5"/>
  <c r="H3" i="5" s="1"/>
  <c r="C60" i="17" l="1"/>
  <c r="H2" i="5"/>
  <c r="N2" i="8"/>
  <c r="C13" i="8"/>
  <c r="P13" i="8" s="1"/>
  <c r="B12" i="8"/>
  <c r="P3" i="8"/>
  <c r="Q3" i="8"/>
  <c r="G3" i="8"/>
  <c r="C20" i="5"/>
  <c r="P13" i="5"/>
  <c r="P12" i="5"/>
  <c r="N12" i="5"/>
  <c r="N13" i="5"/>
  <c r="H11" i="5"/>
  <c r="C11" i="5"/>
  <c r="L16" i="5"/>
  <c r="M16" i="5"/>
  <c r="O14" i="8"/>
  <c r="P14" i="8"/>
  <c r="Q14" i="8"/>
  <c r="R14" i="8"/>
  <c r="S14" i="8"/>
  <c r="N14" i="8"/>
  <c r="O7" i="8"/>
  <c r="P7" i="8"/>
  <c r="Q7" i="8"/>
  <c r="R7" i="8"/>
  <c r="S7" i="8"/>
  <c r="O8" i="8"/>
  <c r="P8" i="8"/>
  <c r="Q8" i="8"/>
  <c r="R8" i="8"/>
  <c r="S8" i="8"/>
  <c r="O9" i="8"/>
  <c r="P9" i="8"/>
  <c r="Q9" i="8"/>
  <c r="R9" i="8"/>
  <c r="S9" i="8"/>
  <c r="O10" i="8"/>
  <c r="P10" i="8"/>
  <c r="Q10" i="8"/>
  <c r="R10" i="8"/>
  <c r="S10" i="8"/>
  <c r="O11" i="8"/>
  <c r="P11" i="8"/>
  <c r="Q11" i="8"/>
  <c r="R11" i="8"/>
  <c r="S11" i="8"/>
  <c r="O4" i="8"/>
  <c r="P4" i="8"/>
  <c r="Q4" i="8"/>
  <c r="R4" i="8"/>
  <c r="S4" i="8"/>
  <c r="O5" i="8"/>
  <c r="P5" i="8"/>
  <c r="Q5" i="8"/>
  <c r="R5" i="8"/>
  <c r="S5" i="8"/>
  <c r="N10" i="8"/>
  <c r="N9" i="8"/>
  <c r="N8" i="8"/>
  <c r="N7" i="8"/>
  <c r="N5" i="8"/>
  <c r="N4" i="8"/>
  <c r="N6" i="8"/>
  <c r="O2" i="8"/>
  <c r="P2" i="8"/>
  <c r="Q2" i="8"/>
  <c r="R2" i="8"/>
  <c r="S2" i="8"/>
  <c r="G7" i="14"/>
  <c r="T16" i="8"/>
  <c r="U16" i="8" s="1"/>
  <c r="T2" i="8" l="1"/>
  <c r="T3" i="8"/>
  <c r="U3" i="8" s="1"/>
  <c r="R12" i="8"/>
  <c r="Q12" i="8"/>
  <c r="O12" i="8"/>
  <c r="S13" i="8"/>
  <c r="O13" i="8"/>
  <c r="P12" i="8"/>
  <c r="N13" i="8"/>
  <c r="Q13" i="8"/>
  <c r="R13" i="8"/>
  <c r="G12" i="8"/>
  <c r="S6" i="8"/>
  <c r="T6" i="8" s="1"/>
  <c r="G6" i="8"/>
  <c r="U6" i="8" l="1"/>
  <c r="S12" i="8"/>
  <c r="G13" i="8"/>
  <c r="T19" i="8" l="1"/>
  <c r="U19" i="8" s="1"/>
  <c r="N7" i="5"/>
  <c r="D5" i="5" l="1"/>
  <c r="H5" i="5" s="1"/>
  <c r="D7" i="14"/>
  <c r="E5" i="14" s="1"/>
  <c r="E12" i="14" s="1"/>
  <c r="E19" i="14" l="1"/>
  <c r="H16" i="5"/>
  <c r="N17" i="8"/>
  <c r="E6" i="14"/>
  <c r="E3" i="14"/>
  <c r="E4" i="14"/>
  <c r="E13" i="14" l="1"/>
  <c r="E20" i="14" s="1"/>
  <c r="E11" i="14"/>
  <c r="E18" i="14" s="1"/>
  <c r="E10" i="14"/>
  <c r="E17" i="14" s="1"/>
  <c r="E7" i="14"/>
  <c r="E14" i="14" l="1"/>
  <c r="G5" i="8"/>
  <c r="G4" i="8"/>
  <c r="N14" i="5"/>
  <c r="P14" i="5" l="1"/>
  <c r="T4" i="8"/>
  <c r="U4" i="8" s="1"/>
  <c r="T5" i="8"/>
  <c r="U5" i="8" s="1"/>
  <c r="P15" i="5" l="1"/>
  <c r="F20" i="8" l="1"/>
  <c r="E20" i="8"/>
  <c r="G4" i="5" l="1"/>
  <c r="F4" i="5"/>
  <c r="E4" i="5"/>
  <c r="I2" i="5" l="1"/>
  <c r="I3" i="5"/>
  <c r="J2" i="5"/>
  <c r="J3" i="5"/>
  <c r="K2" i="5"/>
  <c r="K3" i="5"/>
  <c r="F5" i="5"/>
  <c r="G5" i="5"/>
  <c r="E5" i="5"/>
  <c r="N2" i="5" l="1"/>
  <c r="N3" i="5"/>
  <c r="O17" i="8"/>
  <c r="I5" i="5"/>
  <c r="I16" i="5" s="1"/>
  <c r="Q17" i="8"/>
  <c r="K5" i="5"/>
  <c r="K16" i="5" s="1"/>
  <c r="P17" i="8"/>
  <c r="J5" i="5"/>
  <c r="J16" i="5" s="1"/>
  <c r="N11" i="5"/>
  <c r="N10" i="5"/>
  <c r="N9" i="5"/>
  <c r="N8" i="5"/>
  <c r="N6" i="5"/>
  <c r="T18" i="8"/>
  <c r="U18" i="8" s="1"/>
  <c r="G15" i="8"/>
  <c r="G14" i="8"/>
  <c r="G11" i="8"/>
  <c r="G10" i="8"/>
  <c r="G9" i="8"/>
  <c r="G7" i="8"/>
  <c r="G8" i="8"/>
  <c r="G2" i="8"/>
  <c r="P16" i="5" l="1"/>
  <c r="G21" i="8"/>
  <c r="G23" i="8" s="1"/>
  <c r="T17" i="8"/>
  <c r="U17" i="8" s="1"/>
  <c r="N5" i="5"/>
  <c r="N16" i="5" s="1"/>
  <c r="N12" i="8"/>
  <c r="T14" i="8"/>
  <c r="U14" i="8" s="1"/>
  <c r="T7" i="8"/>
  <c r="U7" i="8" s="1"/>
  <c r="T11" i="8"/>
  <c r="U11" i="8" s="1"/>
  <c r="T10" i="8"/>
  <c r="U10" i="8" s="1"/>
  <c r="T8" i="8"/>
  <c r="U8" i="8" s="1"/>
  <c r="T9" i="8"/>
  <c r="U9" i="8" s="1"/>
  <c r="T13" i="8"/>
  <c r="U13" i="8" s="1"/>
  <c r="C20" i="8"/>
  <c r="U2" i="8"/>
  <c r="B20" i="8"/>
  <c r="S20" i="8" l="1"/>
  <c r="M18" i="5" s="1"/>
  <c r="M21" i="5" s="1"/>
  <c r="G20" i="8"/>
  <c r="T12" i="8"/>
  <c r="N20" i="8"/>
  <c r="H23" i="5"/>
  <c r="T15" i="8"/>
  <c r="U15" i="8" s="1"/>
  <c r="P20" i="8"/>
  <c r="J18" i="5" s="1"/>
  <c r="J21" i="5" s="1"/>
  <c r="O20" i="8"/>
  <c r="Q20" i="8"/>
  <c r="K18" i="5" s="1"/>
  <c r="K21" i="5" s="1"/>
  <c r="R20" i="8"/>
  <c r="L18" i="5" s="1"/>
  <c r="T21" i="8" l="1"/>
  <c r="U12" i="8"/>
  <c r="U20" i="8"/>
  <c r="T20" i="8"/>
  <c r="I18" i="5"/>
  <c r="I21" i="5" s="1"/>
  <c r="H18" i="5"/>
  <c r="K23" i="5"/>
  <c r="J23" i="5"/>
  <c r="I23" i="5"/>
  <c r="M23" i="5"/>
  <c r="H21" i="5" l="1"/>
  <c r="P18" i="5"/>
  <c r="N22" i="8"/>
  <c r="N18" i="5"/>
  <c r="O22" i="8"/>
  <c r="Q22" i="8"/>
  <c r="S22" i="8"/>
  <c r="P22" i="8"/>
  <c r="R22" i="8"/>
  <c r="T22" i="8" l="1"/>
  <c r="L21" i="5"/>
  <c r="N21" i="5" s="1"/>
  <c r="L23" i="5"/>
  <c r="N23" i="5" s="1"/>
</calcChain>
</file>

<file path=xl/sharedStrings.xml><?xml version="1.0" encoding="utf-8"?>
<sst xmlns="http://schemas.openxmlformats.org/spreadsheetml/2006/main" count="196" uniqueCount="154">
  <si>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</si>
  <si>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</si>
  <si>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</si>
  <si>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</si>
  <si>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</si>
  <si>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</si>
  <si>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</si>
  <si>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</si>
  <si>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</si>
  <si>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</si>
  <si>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</si>
  <si>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</si>
  <si>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</si>
  <si>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</si>
  <si>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</si>
  <si>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</si>
  <si>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</si>
  <si>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</si>
  <si>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</si>
  <si>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</si>
  <si>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</si>
  <si>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</si>
  <si>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</si>
  <si>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</si>
  <si>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</si>
  <si>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</si>
  <si>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Beruházás, eszközbeszerzés</t>
  </si>
  <si>
    <t>ÁFA visszatérülés</t>
  </si>
  <si>
    <t>KÖH munkaszervezetre átvett önkormányzatoktól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</si>
  <si>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</si>
  <si>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</si>
  <si>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</si>
  <si>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</si>
  <si>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</si>
  <si>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</si>
  <si>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</si>
  <si>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</si>
  <si>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</si>
  <si>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</si>
  <si>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</si>
  <si>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</si>
  <si>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</si>
  <si>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</si>
  <si>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Egyéb bér</t>
  </si>
  <si>
    <t>Sárpilis arányszáma</t>
  </si>
  <si>
    <t>Sárpilis</t>
  </si>
  <si>
    <t>Sárpilis arányszám</t>
  </si>
  <si>
    <t xml:space="preserve">MOB </t>
  </si>
  <si>
    <t xml:space="preserve">ESZGY </t>
  </si>
  <si>
    <t>Munkábajárás</t>
  </si>
  <si>
    <t>Jubileumi jutalom</t>
  </si>
  <si>
    <t>Tartalékok</t>
  </si>
  <si>
    <t>Költségvetési szerv megnevezése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</si>
  <si>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</si>
  <si>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</si>
  <si>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</si>
  <si>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</si>
  <si>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</si>
  <si>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</si>
  <si>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</si>
  <si>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</si>
  <si>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</si>
  <si>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</si>
  <si>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Tulajdonosi bevételek</t>
  </si>
  <si>
    <t>Ellátási díjak</t>
  </si>
  <si>
    <t>Általános forgalmi adó visszatérülése</t>
  </si>
  <si>
    <t>Kamatbevételek</t>
  </si>
  <si>
    <t>Egyéb pénzügyi műveletek bevételei</t>
  </si>
  <si>
    <t>Biztosító által fizetett kártérítés</t>
  </si>
  <si>
    <t>Egyéb működési bevételek</t>
  </si>
  <si>
    <t>2.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</si>
  <si>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</si>
  <si>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</si>
  <si>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</si>
  <si>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</si>
  <si>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</si>
  <si>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3.</t>
  </si>
  <si>
    <t>4.</t>
  </si>
  <si>
    <t>Felhalmozási célú támogatások államháztartáson belülről (4.1.+…+4.3.)</t>
  </si>
  <si>
    <t>Felhalmozási célú önkormányzati támogatások</t>
  </si>
  <si>
    <t>Egyéb felhalmozási célú támogatások bevételei államháztartáson belülről</t>
  </si>
  <si>
    <t xml:space="preserve">  4.3.-ból EU-s támogatás</t>
  </si>
  <si>
    <t>5.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</si>
  <si>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</si>
  <si>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</si>
  <si>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</si>
  <si>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</si>
  <si>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</si>
  <si>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</si>
  <si>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</si>
  <si>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</si>
  <si>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</si>
  <si>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</si>
  <si>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</si>
  <si>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</si>
  <si>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</si>
  <si>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</si>
  <si>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</si>
  <si>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</si>
  <si>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</si>
  <si>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</si>
  <si>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</si>
  <si>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</si>
  <si>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</si>
  <si>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</si>
  <si>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</si>
  <si>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</si>
  <si>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</si>
  <si>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</si>
  <si>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</si>
  <si>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</si>
  <si>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</si>
  <si>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</si>
  <si>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</si>
  <si>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</si>
  <si>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02</t>
  </si>
  <si>
    <t>01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</si>
  <si>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</si>
  <si>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</si>
  <si>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</si>
  <si>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</si>
  <si>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</si>
  <si>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</si>
  <si>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</si>
  <si>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</si>
  <si>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</si>
  <si>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</si>
  <si>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</si>
  <si>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</si>
  <si>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</si>
  <si>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</si>
  <si>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</si>
  <si>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</si>
  <si>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</si>
  <si>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</si>
  <si>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</si>
  <si>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</si>
  <si>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</si>
  <si>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</si>
  <si>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9.1.</t>
  </si>
  <si>
    <t>9.2.</t>
  </si>
  <si>
    <t>9.3.</t>
  </si>
  <si>
    <t>Pályázatból visszatérülő támogatás</t>
  </si>
  <si>
    <t>Végkielégítés</t>
  </si>
  <si>
    <t>Lakosságszám 2022. január 01.</t>
  </si>
  <si>
    <t>Társulások</t>
  </si>
  <si>
    <t>Társulások nélküli százalék</t>
  </si>
  <si>
    <t>Népszámlálás visszafizetése</t>
  </si>
  <si>
    <t>TOP iskolaenergetika</t>
  </si>
  <si>
    <t>Jubileumi jutalom ESZGY</t>
  </si>
  <si>
    <t>2023. évi kiegészítő hozzájárulás</t>
  </si>
  <si>
    <t>Plusz állami támogatás</t>
  </si>
  <si>
    <t>Kiegészítő béremelés járulékkal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</si>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</sst>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%"/>
    <numFmt numFmtId="165" formatCode="0.00000%"/>
    <numFmt numFmtId="166" formatCode="#,###"/>
    <numFmt numFmtId="167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7" fillId="4" borderId="1" xfId="0" applyFont="1" applyFill="1" applyBorder="1"/>
    <xf numFmtId="0" fontId="10" fillId="4" borderId="1" xfId="0" applyFont="1" applyFill="1" applyBorder="1"/>
    <xf numFmtId="0" fontId="0" fillId="2" borderId="1" xfId="0" applyFill="1" applyBorder="1" applyAlignment="1">
      <alignment wrapText="1"/>
    </xf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10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Border="1"/>
    <xf numFmtId="164" fontId="1" fillId="2" borderId="1" xfId="0" applyNumberFormat="1" applyFont="1" applyFill="1" applyBorder="1"/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1" fillId="2" borderId="1" xfId="0" applyNumberFormat="1" applyFont="1" applyFill="1" applyBorder="1"/>
    <xf numFmtId="165" fontId="7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>
      <alignment horizontal="right" vertical="center" wrapText="1" inden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 indent="1"/>
    </xf>
    <xf numFmtId="166" fontId="21" fillId="0" borderId="4" xfId="0" applyNumberFormat="1" applyFont="1" applyBorder="1" applyAlignment="1" applyProtection="1">
      <alignment horizontal="right" vertical="center" wrapText="1" indent="1"/>
      <protection locked="0"/>
    </xf>
    <xf numFmtId="49" fontId="20" fillId="0" borderId="18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 indent="1"/>
    </xf>
    <xf numFmtId="166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21" fillId="0" borderId="20" xfId="1" applyFont="1" applyBorder="1" applyAlignment="1">
      <alignment horizontal="left" vertical="center" wrapText="1" indent="1"/>
    </xf>
    <xf numFmtId="166" fontId="21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2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1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 applyProtection="1">
      <alignment horizontal="right" vertical="center" wrapText="1" indent="1"/>
      <protection locked="0"/>
    </xf>
    <xf numFmtId="49" fontId="20" fillId="0" borderId="24" xfId="0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center" wrapText="1" indent="1"/>
    </xf>
    <xf numFmtId="166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20" fillId="0" borderId="1" xfId="1" applyFont="1" applyBorder="1" applyAlignment="1">
      <alignment horizontal="left" vertical="center" wrapText="1" indent="1"/>
    </xf>
    <xf numFmtId="0" fontId="20" fillId="0" borderId="26" xfId="1" applyFont="1" applyBorder="1" applyAlignment="1">
      <alignment horizontal="left" vertical="center" wrapText="1" indent="1"/>
    </xf>
    <xf numFmtId="166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>
      <alignment horizontal="right" vertical="center" wrapText="1" indent="1"/>
    </xf>
    <xf numFmtId="166" fontId="18" fillId="0" borderId="28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166" fontId="18" fillId="0" borderId="0" xfId="0" applyNumberFormat="1" applyFont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6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>
      <alignment horizontal="left" vertical="center" wrapText="1" indent="1"/>
    </xf>
    <xf numFmtId="166" fontId="18" fillId="0" borderId="13" xfId="0" applyNumberFormat="1" applyFont="1" applyBorder="1" applyAlignment="1">
      <alignment horizontal="right" vertical="center" wrapText="1" indent="1"/>
    </xf>
    <xf numFmtId="0" fontId="24" fillId="0" borderId="11" xfId="0" applyFont="1" applyBorder="1" applyAlignment="1">
      <alignment horizontal="left" vertical="center"/>
    </xf>
    <xf numFmtId="0" fontId="24" fillId="0" borderId="29" xfId="0" applyFont="1" applyBorder="1" applyAlignment="1">
      <alignment vertical="center" wrapText="1"/>
    </xf>
    <xf numFmtId="3" fontId="24" fillId="0" borderId="13" xfId="0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0" applyNumberFormat="1" applyFont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2" fillId="0" borderId="1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166" fontId="23" fillId="0" borderId="0" xfId="0" applyNumberFormat="1" applyFont="1" applyAlignment="1">
      <alignment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3" fontId="7" fillId="8" borderId="1" xfId="0" applyNumberFormat="1" applyFont="1" applyFill="1" applyBorder="1"/>
    <xf numFmtId="3" fontId="6" fillId="9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167" fontId="6" fillId="0" borderId="1" xfId="0" applyNumberFormat="1" applyFont="1" applyBorder="1"/>
    <xf numFmtId="3" fontId="4" fillId="4" borderId="1" xfId="0" applyNumberFormat="1" applyFont="1" applyFill="1" applyBorder="1"/>
    <xf numFmtId="166" fontId="20" fillId="2" borderId="19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1/B&#225;tasz&#233;k%20V&#225;ros%20&#214;nkorm&#225;nyzata/KVIREND_2021_B&#225;tasz&#23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3/K&#214;H/2023.%20&#233;vi%20k&#246;lts&#233;gvet&#233;s%20m&#243;dos&#237;t&#225;s/KOH_2023_ktgv_kieg&#233;sz&#237;t&#233;ssel%2010.000%20plusz%20&#225;llami%20t&#225;mogat&#225;ssal%2003.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.sz.tájékoztató_t"/>
      <sheetName val="KV_9.sz.tájékoztató t"/>
      <sheetName val="KV_10.sz.tájékoztató_t"/>
    </sheetNames>
    <sheetDataSet>
      <sheetData sheetId="0" refreshError="1"/>
      <sheetData sheetId="1" refreshError="1">
        <row r="7">
          <cell r="A7" t="str">
            <v>a</v>
          </cell>
        </row>
        <row r="11">
          <cell r="A11" t="str">
            <v>Bátaszéki Közös Önkormányzati Hivatal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ltségvetés"/>
      <sheetName val="1.mell.Kiadások"/>
      <sheetName val="2.mell.Bevételek"/>
      <sheetName val="Arányszámok"/>
      <sheetName val="Költségvetés képletes"/>
    </sheetNames>
    <sheetDataSet>
      <sheetData sheetId="0"/>
      <sheetData sheetId="1">
        <row r="6">
          <cell r="C6">
            <v>101400</v>
          </cell>
        </row>
        <row r="14">
          <cell r="G14">
            <v>5000000</v>
          </cell>
        </row>
        <row r="15">
          <cell r="G15">
            <v>27600000</v>
          </cell>
        </row>
        <row r="16">
          <cell r="G16">
            <v>1143000</v>
          </cell>
        </row>
        <row r="17">
          <cell r="G17">
            <v>878748</v>
          </cell>
        </row>
        <row r="18">
          <cell r="G18">
            <v>928784</v>
          </cell>
        </row>
        <row r="19">
          <cell r="G19">
            <v>726483</v>
          </cell>
        </row>
      </sheetData>
      <sheetData sheetId="2">
        <row r="2">
          <cell r="P2">
            <v>205673356</v>
          </cell>
        </row>
        <row r="8">
          <cell r="C8">
            <v>360000</v>
          </cell>
        </row>
        <row r="9">
          <cell r="C9">
            <v>1940000</v>
          </cell>
        </row>
        <row r="10">
          <cell r="C10">
            <v>621000</v>
          </cell>
        </row>
        <row r="11">
          <cell r="H11">
            <v>792059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34" zoomScaleNormal="100" workbookViewId="0">
      <selection activeCell="I51" sqref="I51"/>
    </sheetView>
  </sheetViews>
  <sheetFormatPr defaultRowHeight="15" x14ac:dyDescent="0.25"/>
  <cols>
    <col min="1" max="1" width="15.42578125" customWidth="1"/>
    <col min="2" max="2" width="47.7109375" customWidth="1"/>
    <col min="3" max="3" width="20" customWidth="1"/>
  </cols>
  <sheetData>
    <row r="1" spans="1:3" ht="16.5" thickBot="1" x14ac:dyDescent="0.3">
      <c r="A1" s="110"/>
      <c r="B1" s="111"/>
      <c r="C1" s="112"/>
    </row>
    <row r="2" spans="1:3" ht="24" x14ac:dyDescent="0.25">
      <c r="A2" s="59" t="s">
        <v>52</v>
      </c>
      <c r="B2" s="60" t="str">
        <f>CONCATENATE([1]ALAPADATOK!A11)</f>
        <v>Bátaszéki Közös Önkormányzati Hivatal</v>
      </c>
      <c r="C2" s="61" t="s">
        <v>115</v>
      </c>
    </row>
    <row r="3" spans="1:3" ht="24.75" thickBot="1" x14ac:dyDescent="0.3">
      <c r="A3" s="62" t="s">
        <v>53</v>
      </c>
      <c r="B3" s="63" t="s">
        <v>54</v>
      </c>
      <c r="C3" s="64" t="s">
        <v>116</v>
      </c>
    </row>
    <row r="4" spans="1:3" ht="15.75" thickBot="1" x14ac:dyDescent="0.3">
      <c r="A4" s="113"/>
      <c r="B4" s="113"/>
      <c r="C4" s="114"/>
    </row>
    <row r="5" spans="1:3" ht="15.75" thickBot="1" x14ac:dyDescent="0.3">
      <c r="A5" s="65" t="s">
        <v>55</v>
      </c>
      <c r="B5" s="66" t="s">
        <v>56</v>
      </c>
      <c r="C5" s="67" t="s">
        <v>57</v>
      </c>
    </row>
    <row r="6" spans="1:3" ht="15.75" thickBot="1" x14ac:dyDescent="0.3">
      <c r="A6" s="68"/>
      <c r="B6" s="69" t="s">
        <v>58</v>
      </c>
      <c r="C6" s="70" t="s">
        <v>59</v>
      </c>
    </row>
    <row r="7" spans="1:3" ht="15.75" thickBot="1" x14ac:dyDescent="0.3">
      <c r="A7" s="71"/>
      <c r="B7" s="72" t="s">
        <v>60</v>
      </c>
      <c r="C7" s="123"/>
    </row>
    <row r="8" spans="1:3" ht="15.75" thickBot="1" x14ac:dyDescent="0.3">
      <c r="A8" s="73" t="s">
        <v>61</v>
      </c>
      <c r="B8" s="74" t="s">
        <v>62</v>
      </c>
      <c r="C8" s="75">
        <f>SUM(C9:C19)</f>
        <v>3713059</v>
      </c>
    </row>
    <row r="9" spans="1:3" x14ac:dyDescent="0.25">
      <c r="A9" s="76" t="s">
        <v>117</v>
      </c>
      <c r="B9" s="77" t="s">
        <v>20</v>
      </c>
      <c r="C9" s="78"/>
    </row>
    <row r="10" spans="1:3" x14ac:dyDescent="0.25">
      <c r="A10" s="79" t="s">
        <v>118</v>
      </c>
      <c r="B10" s="80" t="s">
        <v>11</v>
      </c>
      <c r="C10" s="81">
        <f>'[2]2.mell.Bevételek'!C8</f>
        <v>360000</v>
      </c>
    </row>
    <row r="11" spans="1:3" x14ac:dyDescent="0.25">
      <c r="A11" s="79" t="s">
        <v>119</v>
      </c>
      <c r="B11" s="80" t="s">
        <v>12</v>
      </c>
      <c r="C11" s="81">
        <f>'[2]2.mell.Bevételek'!C9</f>
        <v>1940000</v>
      </c>
    </row>
    <row r="12" spans="1:3" x14ac:dyDescent="0.25">
      <c r="A12" s="79" t="s">
        <v>120</v>
      </c>
      <c r="B12" s="80" t="s">
        <v>63</v>
      </c>
      <c r="C12" s="81"/>
    </row>
    <row r="13" spans="1:3" x14ac:dyDescent="0.25">
      <c r="A13" s="79" t="s">
        <v>121</v>
      </c>
      <c r="B13" s="80" t="s">
        <v>64</v>
      </c>
      <c r="C13" s="81"/>
    </row>
    <row r="14" spans="1:3" x14ac:dyDescent="0.25">
      <c r="A14" s="79" t="s">
        <v>122</v>
      </c>
      <c r="B14" s="80" t="s">
        <v>13</v>
      </c>
      <c r="C14" s="81">
        <f>'[2]2.mell.Bevételek'!C10</f>
        <v>621000</v>
      </c>
    </row>
    <row r="15" spans="1:3" x14ac:dyDescent="0.25">
      <c r="A15" s="79" t="s">
        <v>123</v>
      </c>
      <c r="B15" s="82" t="s">
        <v>65</v>
      </c>
      <c r="C15" s="81">
        <f>'[2]2.mell.Bevételek'!H11</f>
        <v>792059</v>
      </c>
    </row>
    <row r="16" spans="1:3" x14ac:dyDescent="0.25">
      <c r="A16" s="79" t="s">
        <v>124</v>
      </c>
      <c r="B16" s="80" t="s">
        <v>66</v>
      </c>
      <c r="C16" s="83"/>
    </row>
    <row r="17" spans="1:3" x14ac:dyDescent="0.25">
      <c r="A17" s="79" t="s">
        <v>125</v>
      </c>
      <c r="B17" s="80" t="s">
        <v>67</v>
      </c>
      <c r="C17" s="81"/>
    </row>
    <row r="18" spans="1:3" x14ac:dyDescent="0.25">
      <c r="A18" s="79" t="s">
        <v>126</v>
      </c>
      <c r="B18" s="80" t="s">
        <v>68</v>
      </c>
      <c r="C18" s="84"/>
    </row>
    <row r="19" spans="1:3" ht="15.75" thickBot="1" x14ac:dyDescent="0.3">
      <c r="A19" s="79" t="s">
        <v>127</v>
      </c>
      <c r="B19" s="82" t="s">
        <v>69</v>
      </c>
      <c r="C19" s="84"/>
    </row>
    <row r="20" spans="1:3" ht="21.75" thickBot="1" x14ac:dyDescent="0.3">
      <c r="A20" s="73" t="s">
        <v>70</v>
      </c>
      <c r="B20" s="74" t="s">
        <v>71</v>
      </c>
      <c r="C20" s="75">
        <f>SUM(C21:C23)</f>
        <v>21081505</v>
      </c>
    </row>
    <row r="21" spans="1:3" x14ac:dyDescent="0.25">
      <c r="A21" s="79" t="s">
        <v>128</v>
      </c>
      <c r="B21" s="85" t="s">
        <v>72</v>
      </c>
      <c r="C21" s="81"/>
    </row>
    <row r="22" spans="1:3" x14ac:dyDescent="0.25">
      <c r="A22" s="79" t="s">
        <v>129</v>
      </c>
      <c r="B22" s="80" t="s">
        <v>142</v>
      </c>
      <c r="C22" s="81"/>
    </row>
    <row r="23" spans="1:3" ht="22.5" x14ac:dyDescent="0.25">
      <c r="A23" s="79" t="s">
        <v>130</v>
      </c>
      <c r="B23" s="80" t="s">
        <v>74</v>
      </c>
      <c r="C23" s="81">
        <v>21081505</v>
      </c>
    </row>
    <row r="24" spans="1:3" ht="15.75" thickBot="1" x14ac:dyDescent="0.3">
      <c r="A24" s="79" t="s">
        <v>131</v>
      </c>
      <c r="B24" s="80" t="s">
        <v>75</v>
      </c>
      <c r="C24" s="81"/>
    </row>
    <row r="25" spans="1:3" ht="15.75" thickBot="1" x14ac:dyDescent="0.3">
      <c r="A25" s="86" t="s">
        <v>76</v>
      </c>
      <c r="B25" s="87" t="s">
        <v>21</v>
      </c>
      <c r="C25" s="88"/>
    </row>
    <row r="26" spans="1:3" ht="21.75" thickBot="1" x14ac:dyDescent="0.3">
      <c r="A26" s="86" t="s">
        <v>77</v>
      </c>
      <c r="B26" s="87" t="s">
        <v>78</v>
      </c>
      <c r="C26" s="75">
        <f>+C27+C28+C29</f>
        <v>0</v>
      </c>
    </row>
    <row r="27" spans="1:3" x14ac:dyDescent="0.25">
      <c r="A27" s="89" t="s">
        <v>132</v>
      </c>
      <c r="B27" s="90" t="s">
        <v>79</v>
      </c>
      <c r="C27" s="91"/>
    </row>
    <row r="28" spans="1:3" ht="22.5" x14ac:dyDescent="0.25">
      <c r="A28" s="89" t="s">
        <v>133</v>
      </c>
      <c r="B28" s="90" t="s">
        <v>73</v>
      </c>
      <c r="C28" s="81"/>
    </row>
    <row r="29" spans="1:3" ht="22.5" x14ac:dyDescent="0.25">
      <c r="A29" s="89" t="s">
        <v>134</v>
      </c>
      <c r="B29" s="92" t="s">
        <v>80</v>
      </c>
      <c r="C29" s="81"/>
    </row>
    <row r="30" spans="1:3" ht="15.75" thickBot="1" x14ac:dyDescent="0.3">
      <c r="A30" s="79" t="s">
        <v>135</v>
      </c>
      <c r="B30" s="93" t="s">
        <v>81</v>
      </c>
      <c r="C30" s="94"/>
    </row>
    <row r="31" spans="1:3" ht="15.75" thickBot="1" x14ac:dyDescent="0.3">
      <c r="A31" s="86" t="s">
        <v>82</v>
      </c>
      <c r="B31" s="87" t="s">
        <v>83</v>
      </c>
      <c r="C31" s="75">
        <f>+C32+C33+C34</f>
        <v>0</v>
      </c>
    </row>
    <row r="32" spans="1:3" x14ac:dyDescent="0.25">
      <c r="A32" s="89" t="s">
        <v>136</v>
      </c>
      <c r="B32" s="90" t="s">
        <v>84</v>
      </c>
      <c r="C32" s="91"/>
    </row>
    <row r="33" spans="1:3" x14ac:dyDescent="0.25">
      <c r="A33" s="89" t="s">
        <v>137</v>
      </c>
      <c r="B33" s="92" t="s">
        <v>85</v>
      </c>
      <c r="C33" s="95"/>
    </row>
    <row r="34" spans="1:3" ht="15.75" thickBot="1" x14ac:dyDescent="0.3">
      <c r="A34" s="79" t="s">
        <v>138</v>
      </c>
      <c r="B34" s="93" t="s">
        <v>86</v>
      </c>
      <c r="C34" s="94"/>
    </row>
    <row r="35" spans="1:3" ht="15.75" thickBot="1" x14ac:dyDescent="0.3">
      <c r="A35" s="86" t="s">
        <v>87</v>
      </c>
      <c r="B35" s="87" t="s">
        <v>88</v>
      </c>
      <c r="C35" s="88"/>
    </row>
    <row r="36" spans="1:3" ht="15.75" thickBot="1" x14ac:dyDescent="0.3">
      <c r="A36" s="86" t="s">
        <v>89</v>
      </c>
      <c r="B36" s="87" t="s">
        <v>90</v>
      </c>
      <c r="C36" s="96"/>
    </row>
    <row r="37" spans="1:3" ht="15.75" thickBot="1" x14ac:dyDescent="0.3">
      <c r="A37" s="73" t="s">
        <v>91</v>
      </c>
      <c r="B37" s="87" t="s">
        <v>92</v>
      </c>
      <c r="C37" s="97">
        <f>+C8+C20+C25+C26+C31+C35+C36</f>
        <v>24794564</v>
      </c>
    </row>
    <row r="38" spans="1:3" ht="15.75" thickBot="1" x14ac:dyDescent="0.3">
      <c r="A38" s="115" t="s">
        <v>93</v>
      </c>
      <c r="B38" s="87" t="s">
        <v>94</v>
      </c>
      <c r="C38" s="97">
        <f>+C39+C40+C41</f>
        <v>207936171</v>
      </c>
    </row>
    <row r="39" spans="1:3" x14ac:dyDescent="0.25">
      <c r="A39" s="89" t="s">
        <v>139</v>
      </c>
      <c r="B39" s="90" t="s">
        <v>95</v>
      </c>
      <c r="C39" s="91">
        <v>2534015</v>
      </c>
    </row>
    <row r="40" spans="1:3" x14ac:dyDescent="0.25">
      <c r="A40" s="89" t="s">
        <v>140</v>
      </c>
      <c r="B40" s="92" t="s">
        <v>96</v>
      </c>
      <c r="C40" s="95"/>
    </row>
    <row r="41" spans="1:3" ht="23.25" thickBot="1" x14ac:dyDescent="0.3">
      <c r="A41" s="79" t="s">
        <v>141</v>
      </c>
      <c r="B41" s="93" t="s">
        <v>97</v>
      </c>
      <c r="C41" s="94">
        <v>205402156</v>
      </c>
    </row>
    <row r="42" spans="1:3" ht="15.75" thickBot="1" x14ac:dyDescent="0.3">
      <c r="A42" s="115" t="s">
        <v>98</v>
      </c>
      <c r="B42" s="116" t="s">
        <v>99</v>
      </c>
      <c r="C42" s="98">
        <f>+C37+C38</f>
        <v>232730735</v>
      </c>
    </row>
    <row r="43" spans="1:3" x14ac:dyDescent="0.25">
      <c r="A43" s="99"/>
      <c r="B43" s="100"/>
      <c r="C43" s="101"/>
    </row>
    <row r="44" spans="1:3" x14ac:dyDescent="0.25">
      <c r="A44" s="99"/>
      <c r="B44" s="100"/>
      <c r="C44" s="101"/>
    </row>
    <row r="45" spans="1:3" ht="15.75" thickBot="1" x14ac:dyDescent="0.3">
      <c r="A45" s="117"/>
      <c r="B45" s="118"/>
      <c r="C45" s="119"/>
    </row>
    <row r="46" spans="1:3" ht="15.75" thickBot="1" x14ac:dyDescent="0.3">
      <c r="A46" s="102"/>
      <c r="B46" s="103" t="s">
        <v>100</v>
      </c>
      <c r="C46" s="98"/>
    </row>
    <row r="47" spans="1:3" ht="15.75" thickBot="1" x14ac:dyDescent="0.3">
      <c r="A47" s="86" t="s">
        <v>61</v>
      </c>
      <c r="B47" s="87" t="s">
        <v>101</v>
      </c>
      <c r="C47" s="75">
        <f>SUM(C48:C52)</f>
        <v>231587735</v>
      </c>
    </row>
    <row r="48" spans="1:3" x14ac:dyDescent="0.25">
      <c r="A48" s="79" t="s">
        <v>117</v>
      </c>
      <c r="B48" s="85" t="s">
        <v>102</v>
      </c>
      <c r="C48" s="91">
        <v>173251000</v>
      </c>
    </row>
    <row r="49" spans="1:3" x14ac:dyDescent="0.25">
      <c r="A49" s="79" t="s">
        <v>118</v>
      </c>
      <c r="B49" s="80" t="s">
        <v>103</v>
      </c>
      <c r="C49" s="104">
        <v>23202720</v>
      </c>
    </row>
    <row r="50" spans="1:3" x14ac:dyDescent="0.25">
      <c r="A50" s="79" t="s">
        <v>119</v>
      </c>
      <c r="B50" s="80" t="s">
        <v>104</v>
      </c>
      <c r="C50" s="104">
        <f>'[2]1.mell.Kiadások'!G14+'[2]1.mell.Kiadások'!G15</f>
        <v>32600000</v>
      </c>
    </row>
    <row r="51" spans="1:3" x14ac:dyDescent="0.25">
      <c r="A51" s="79" t="s">
        <v>120</v>
      </c>
      <c r="B51" s="80" t="s">
        <v>105</v>
      </c>
      <c r="C51" s="104"/>
    </row>
    <row r="52" spans="1:3" ht="15.75" thickBot="1" x14ac:dyDescent="0.3">
      <c r="A52" s="79" t="s">
        <v>121</v>
      </c>
      <c r="B52" s="80" t="s">
        <v>106</v>
      </c>
      <c r="C52" s="139">
        <f>'[2]1.mell.Kiadások'!G17+'[2]1.mell.Kiadások'!G18+'[2]1.mell.Kiadások'!G19</f>
        <v>2534015</v>
      </c>
    </row>
    <row r="53" spans="1:3" ht="15.75" thickBot="1" x14ac:dyDescent="0.3">
      <c r="A53" s="86" t="s">
        <v>70</v>
      </c>
      <c r="B53" s="87" t="s">
        <v>107</v>
      </c>
      <c r="C53" s="75">
        <f>SUM(C54:C56)</f>
        <v>1143000</v>
      </c>
    </row>
    <row r="54" spans="1:3" x14ac:dyDescent="0.25">
      <c r="A54" s="79" t="s">
        <v>128</v>
      </c>
      <c r="B54" s="85" t="s">
        <v>108</v>
      </c>
      <c r="C54" s="91">
        <f>'[2]1.mell.Kiadások'!G16</f>
        <v>1143000</v>
      </c>
    </row>
    <row r="55" spans="1:3" x14ac:dyDescent="0.25">
      <c r="A55" s="79" t="s">
        <v>129</v>
      </c>
      <c r="B55" s="80" t="s">
        <v>22</v>
      </c>
      <c r="C55" s="104"/>
    </row>
    <row r="56" spans="1:3" x14ac:dyDescent="0.25">
      <c r="A56" s="79" t="s">
        <v>130</v>
      </c>
      <c r="B56" s="80" t="s">
        <v>109</v>
      </c>
      <c r="C56" s="104"/>
    </row>
    <row r="57" spans="1:3" ht="23.25" thickBot="1" x14ac:dyDescent="0.3">
      <c r="A57" s="79" t="s">
        <v>131</v>
      </c>
      <c r="B57" s="80" t="s">
        <v>110</v>
      </c>
      <c r="C57" s="104"/>
    </row>
    <row r="58" spans="1:3" ht="15.75" thickBot="1" x14ac:dyDescent="0.3">
      <c r="A58" s="86" t="s">
        <v>76</v>
      </c>
      <c r="B58" s="87" t="s">
        <v>111</v>
      </c>
      <c r="C58" s="88"/>
    </row>
    <row r="59" spans="1:3" ht="15.75" thickBot="1" x14ac:dyDescent="0.3">
      <c r="A59" s="86" t="s">
        <v>77</v>
      </c>
      <c r="B59" s="105" t="s">
        <v>112</v>
      </c>
      <c r="C59" s="106">
        <f>+C47+C53+C58</f>
        <v>232730735</v>
      </c>
    </row>
    <row r="60" spans="1:3" ht="15.75" thickBot="1" x14ac:dyDescent="0.3">
      <c r="A60" s="120"/>
      <c r="B60" s="121"/>
      <c r="C60" s="122">
        <f>C42-C59</f>
        <v>0</v>
      </c>
    </row>
    <row r="61" spans="1:3" ht="15.75" thickBot="1" x14ac:dyDescent="0.3">
      <c r="A61" s="107" t="s">
        <v>113</v>
      </c>
      <c r="B61" s="108"/>
      <c r="C61" s="109">
        <v>32</v>
      </c>
    </row>
    <row r="62" spans="1:3" ht="15.75" thickBot="1" x14ac:dyDescent="0.3">
      <c r="A62" s="107" t="s">
        <v>114</v>
      </c>
      <c r="B62" s="108"/>
      <c r="C62" s="10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opLeftCell="A2" zoomScaleNormal="100" zoomScaleSheetLayoutView="100" workbookViewId="0">
      <selection activeCell="N11" sqref="N11"/>
    </sheetView>
  </sheetViews>
  <sheetFormatPr defaultColWidth="8.85546875" defaultRowHeight="24.95" customHeight="1" x14ac:dyDescent="0.25"/>
  <cols>
    <col min="1" max="1" width="26.7109375" style="32" customWidth="1"/>
    <col min="2" max="2" width="13.5703125" style="1" bestFit="1" customWidth="1"/>
    <col min="3" max="4" width="10.7109375" style="4" customWidth="1"/>
    <col min="5" max="5" width="13.140625" style="4" customWidth="1"/>
    <col min="6" max="6" width="10.7109375" style="4" bestFit="1" customWidth="1"/>
    <col min="7" max="7" width="11.7109375" style="46" customWidth="1"/>
    <col min="8" max="8" width="10.85546875" style="4" customWidth="1"/>
    <col min="9" max="9" width="10.7109375" style="4" customWidth="1"/>
    <col min="10" max="10" width="11.28515625" style="4" customWidth="1"/>
    <col min="11" max="11" width="12" style="4" customWidth="1"/>
    <col min="12" max="12" width="11.140625" style="4" customWidth="1"/>
    <col min="13" max="13" width="11.28515625" style="4" customWidth="1"/>
    <col min="14" max="14" width="14.85546875" style="4" bestFit="1" customWidth="1"/>
    <col min="15" max="17" width="13.5703125" style="4" bestFit="1" customWidth="1"/>
    <col min="18" max="19" width="12.42578125" style="4" bestFit="1" customWidth="1"/>
    <col min="20" max="20" width="14.85546875" style="4" bestFit="1" customWidth="1"/>
    <col min="21" max="21" width="10.85546875" style="2" customWidth="1"/>
    <col min="22" max="47" width="8.85546875" style="2"/>
    <col min="48" max="16384" width="8.85546875" style="1"/>
  </cols>
  <sheetData>
    <row r="1" spans="1:47" s="17" customFormat="1" ht="45" x14ac:dyDescent="0.25">
      <c r="A1" s="124" t="s">
        <v>15</v>
      </c>
      <c r="B1" s="124" t="s">
        <v>36</v>
      </c>
      <c r="C1" s="125" t="s">
        <v>23</v>
      </c>
      <c r="D1" s="125" t="s">
        <v>37</v>
      </c>
      <c r="E1" s="125" t="s">
        <v>38</v>
      </c>
      <c r="F1" s="125" t="s">
        <v>51</v>
      </c>
      <c r="G1" s="126" t="s">
        <v>0</v>
      </c>
      <c r="H1" s="125" t="s">
        <v>4</v>
      </c>
      <c r="I1" s="125" t="s">
        <v>5</v>
      </c>
      <c r="J1" s="125" t="s">
        <v>6</v>
      </c>
      <c r="K1" s="125" t="s">
        <v>44</v>
      </c>
      <c r="L1" s="125" t="s">
        <v>16</v>
      </c>
      <c r="M1" s="125" t="s">
        <v>17</v>
      </c>
      <c r="N1" s="125" t="s">
        <v>1</v>
      </c>
      <c r="O1" s="125" t="s">
        <v>2</v>
      </c>
      <c r="P1" s="125" t="s">
        <v>3</v>
      </c>
      <c r="Q1" s="125" t="s">
        <v>45</v>
      </c>
      <c r="R1" s="125" t="s">
        <v>18</v>
      </c>
      <c r="S1" s="125" t="s">
        <v>19</v>
      </c>
      <c r="T1" s="125" t="s">
        <v>8</v>
      </c>
      <c r="U1" s="22"/>
      <c r="V1" s="22"/>
      <c r="W1" s="22"/>
      <c r="X1" s="57"/>
      <c r="Y1" s="58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s="33" customFormat="1" ht="45" x14ac:dyDescent="0.25">
      <c r="A2" s="12" t="s">
        <v>42</v>
      </c>
      <c r="B2" s="10">
        <v>153549000</v>
      </c>
      <c r="C2" s="10">
        <v>19961370</v>
      </c>
      <c r="D2" s="27"/>
      <c r="E2" s="10"/>
      <c r="F2" s="10"/>
      <c r="G2" s="26">
        <f t="shared" ref="G2:G15" si="0">SUM(B2:E2)</f>
        <v>173510370</v>
      </c>
      <c r="H2" s="48">
        <v>0.70760000000000001</v>
      </c>
      <c r="I2" s="48">
        <v>8.09E-2</v>
      </c>
      <c r="J2" s="48">
        <v>7.9399999999999998E-2</v>
      </c>
      <c r="K2" s="48">
        <v>6.83E-2</v>
      </c>
      <c r="L2" s="48">
        <v>3.3099999999999997E-2</v>
      </c>
      <c r="M2" s="48">
        <v>3.0700000000000002E-2</v>
      </c>
      <c r="N2" s="10">
        <f>+ROUND($B$2*H2,0)</f>
        <v>108651272</v>
      </c>
      <c r="O2" s="10">
        <f t="shared" ref="O2:S2" si="1">+ROUND($B$2*I2,0)</f>
        <v>12422114</v>
      </c>
      <c r="P2" s="10">
        <f t="shared" si="1"/>
        <v>12191791</v>
      </c>
      <c r="Q2" s="10">
        <f t="shared" si="1"/>
        <v>10487397</v>
      </c>
      <c r="R2" s="10">
        <f t="shared" si="1"/>
        <v>5082472</v>
      </c>
      <c r="S2" s="10">
        <f t="shared" si="1"/>
        <v>4713954</v>
      </c>
      <c r="T2" s="26">
        <f>SUM(N2:S2)</f>
        <v>153549000</v>
      </c>
      <c r="U2" s="36">
        <f t="shared" ref="U2:U12" si="2">T2-B2</f>
        <v>0</v>
      </c>
      <c r="V2" s="13"/>
      <c r="W2" s="13"/>
      <c r="X2" s="27"/>
      <c r="Y2" s="27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33" customFormat="1" ht="30" x14ac:dyDescent="0.25">
      <c r="A3" s="12" t="s">
        <v>152</v>
      </c>
      <c r="B3" s="10">
        <v>3542550</v>
      </c>
      <c r="C3" s="10"/>
      <c r="D3" s="27"/>
      <c r="E3" s="10"/>
      <c r="F3" s="137"/>
      <c r="G3" s="26">
        <f t="shared" si="0"/>
        <v>3542550</v>
      </c>
      <c r="H3" s="48">
        <v>0.70760000000000001</v>
      </c>
      <c r="I3" s="48">
        <v>8.09E-2</v>
      </c>
      <c r="J3" s="48">
        <v>7.9399999999999998E-2</v>
      </c>
      <c r="K3" s="48">
        <v>6.83E-2</v>
      </c>
      <c r="L3" s="48">
        <v>3.3099999999999997E-2</v>
      </c>
      <c r="M3" s="48">
        <v>3.0700000000000002E-2</v>
      </c>
      <c r="N3" s="54">
        <f>+ROUND($B$3*H3,0)+2</f>
        <v>2506710</v>
      </c>
      <c r="O3" s="10">
        <f>+ROUND($B$3*I3,0)</f>
        <v>286592</v>
      </c>
      <c r="P3" s="10">
        <f t="shared" ref="P3:Q3" si="3">+ROUND($B$3*J3,0)</f>
        <v>281278</v>
      </c>
      <c r="Q3" s="10">
        <f t="shared" si="3"/>
        <v>241956</v>
      </c>
      <c r="R3" s="10">
        <f>+ROUND($B$3*L3,0)</f>
        <v>117258</v>
      </c>
      <c r="S3" s="10">
        <f>+ROUND($B$3*M3,0)</f>
        <v>108756</v>
      </c>
      <c r="T3" s="26">
        <f>SUM(N3:S3)</f>
        <v>3542550</v>
      </c>
      <c r="U3" s="36">
        <f t="shared" si="2"/>
        <v>0</v>
      </c>
      <c r="V3" s="13"/>
      <c r="W3" s="13"/>
      <c r="X3" s="27"/>
      <c r="Y3" s="27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s="33" customFormat="1" ht="15" x14ac:dyDescent="0.25">
      <c r="A4" s="12" t="s">
        <v>143</v>
      </c>
      <c r="B4" s="10">
        <v>2920000</v>
      </c>
      <c r="C4" s="10">
        <v>379600</v>
      </c>
      <c r="D4" s="27"/>
      <c r="E4" s="10"/>
      <c r="F4" s="10"/>
      <c r="G4" s="26">
        <f t="shared" si="0"/>
        <v>3299600</v>
      </c>
      <c r="H4" s="48">
        <v>0.70760000000000001</v>
      </c>
      <c r="I4" s="48">
        <v>8.09E-2</v>
      </c>
      <c r="J4" s="48">
        <v>7.9399999999999998E-2</v>
      </c>
      <c r="K4" s="48">
        <v>6.83E-2</v>
      </c>
      <c r="L4" s="48">
        <v>3.3099999999999997E-2</v>
      </c>
      <c r="M4" s="48">
        <v>3.0700000000000002E-2</v>
      </c>
      <c r="N4" s="10">
        <f>+ROUND($B$4*H4,0)</f>
        <v>2066192</v>
      </c>
      <c r="O4" s="10">
        <f t="shared" ref="O4:S4" si="4">+ROUND($B$4*I4,0)</f>
        <v>236228</v>
      </c>
      <c r="P4" s="10">
        <f t="shared" si="4"/>
        <v>231848</v>
      </c>
      <c r="Q4" s="10">
        <f t="shared" si="4"/>
        <v>199436</v>
      </c>
      <c r="R4" s="10">
        <f t="shared" si="4"/>
        <v>96652</v>
      </c>
      <c r="S4" s="10">
        <f t="shared" si="4"/>
        <v>89644</v>
      </c>
      <c r="T4" s="26">
        <f t="shared" ref="T4:T8" si="5">SUM(N4:S4)</f>
        <v>2920000</v>
      </c>
      <c r="U4" s="36">
        <f t="shared" si="2"/>
        <v>0</v>
      </c>
      <c r="V4" s="13"/>
      <c r="W4" s="13"/>
      <c r="X4" s="27"/>
      <c r="Y4" s="27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33" customFormat="1" ht="15" x14ac:dyDescent="0.25">
      <c r="A5" s="12" t="s">
        <v>50</v>
      </c>
      <c r="B5" s="10">
        <v>572000</v>
      </c>
      <c r="C5" s="10"/>
      <c r="D5" s="27"/>
      <c r="E5" s="10"/>
      <c r="F5" s="10"/>
      <c r="G5" s="26">
        <f t="shared" si="0"/>
        <v>572000</v>
      </c>
      <c r="H5" s="48">
        <v>0.70760000000000001</v>
      </c>
      <c r="I5" s="48">
        <v>8.09E-2</v>
      </c>
      <c r="J5" s="48">
        <v>7.9399999999999998E-2</v>
      </c>
      <c r="K5" s="48">
        <v>6.83E-2</v>
      </c>
      <c r="L5" s="48">
        <v>3.3099999999999997E-2</v>
      </c>
      <c r="M5" s="48">
        <v>3.0700000000000002E-2</v>
      </c>
      <c r="N5" s="10">
        <f>+ROUND($B$5*H5,0)</f>
        <v>404747</v>
      </c>
      <c r="O5" s="10">
        <f t="shared" ref="O5:S5" si="6">+ROUND($B$5*I5,0)</f>
        <v>46275</v>
      </c>
      <c r="P5" s="10">
        <f t="shared" si="6"/>
        <v>45417</v>
      </c>
      <c r="Q5" s="10">
        <f t="shared" si="6"/>
        <v>39068</v>
      </c>
      <c r="R5" s="10">
        <f t="shared" si="6"/>
        <v>18933</v>
      </c>
      <c r="S5" s="10">
        <f t="shared" si="6"/>
        <v>17560</v>
      </c>
      <c r="T5" s="26">
        <f t="shared" si="5"/>
        <v>572000</v>
      </c>
      <c r="U5" s="36">
        <f t="shared" si="2"/>
        <v>0</v>
      </c>
      <c r="V5" s="13"/>
      <c r="W5" s="13"/>
      <c r="X5" s="27"/>
      <c r="Y5" s="27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s="33" customFormat="1" ht="15" x14ac:dyDescent="0.25">
      <c r="A6" s="12" t="s">
        <v>149</v>
      </c>
      <c r="B6" s="10">
        <v>780000</v>
      </c>
      <c r="C6" s="134">
        <v>101400</v>
      </c>
      <c r="D6" s="27"/>
      <c r="E6" s="10"/>
      <c r="F6" s="10"/>
      <c r="G6" s="26">
        <f t="shared" si="0"/>
        <v>881400</v>
      </c>
      <c r="H6" s="48"/>
      <c r="I6" s="48"/>
      <c r="J6" s="48"/>
      <c r="K6" s="48"/>
      <c r="L6" s="48"/>
      <c r="M6" s="48">
        <v>1</v>
      </c>
      <c r="N6" s="10">
        <f>+ROUND(B6*H6,0)</f>
        <v>0</v>
      </c>
      <c r="O6" s="10"/>
      <c r="P6" s="10"/>
      <c r="Q6" s="10"/>
      <c r="R6" s="10"/>
      <c r="S6" s="10">
        <f>B6+C6</f>
        <v>881400</v>
      </c>
      <c r="T6" s="26">
        <f t="shared" si="5"/>
        <v>881400</v>
      </c>
      <c r="U6" s="36">
        <f>T6-G6</f>
        <v>0</v>
      </c>
      <c r="V6" s="13"/>
      <c r="W6" s="13"/>
      <c r="X6" s="27"/>
      <c r="Y6" s="27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33" customFormat="1" ht="15" x14ac:dyDescent="0.25">
      <c r="A7" s="12" t="s">
        <v>33</v>
      </c>
      <c r="B7" s="10">
        <v>5860000</v>
      </c>
      <c r="C7" s="10">
        <v>1640800</v>
      </c>
      <c r="D7" s="27"/>
      <c r="E7" s="10"/>
      <c r="F7" s="10"/>
      <c r="G7" s="26">
        <f t="shared" si="0"/>
        <v>7500800</v>
      </c>
      <c r="H7" s="48">
        <v>0.70760000000000001</v>
      </c>
      <c r="I7" s="48">
        <v>8.09E-2</v>
      </c>
      <c r="J7" s="48">
        <v>7.9399999999999998E-2</v>
      </c>
      <c r="K7" s="48">
        <v>6.83E-2</v>
      </c>
      <c r="L7" s="48">
        <v>3.3099999999999997E-2</v>
      </c>
      <c r="M7" s="48">
        <v>3.0700000000000002E-2</v>
      </c>
      <c r="N7" s="10">
        <f>+ROUND($B$7*H7,0)</f>
        <v>4146536</v>
      </c>
      <c r="O7" s="10">
        <f t="shared" ref="O7:S7" si="7">+ROUND($B$7*I7,0)</f>
        <v>474074</v>
      </c>
      <c r="P7" s="10">
        <f t="shared" si="7"/>
        <v>465284</v>
      </c>
      <c r="Q7" s="10">
        <f t="shared" si="7"/>
        <v>400238</v>
      </c>
      <c r="R7" s="10">
        <f t="shared" si="7"/>
        <v>193966</v>
      </c>
      <c r="S7" s="10">
        <f t="shared" si="7"/>
        <v>179902</v>
      </c>
      <c r="T7" s="26">
        <f t="shared" si="5"/>
        <v>5860000</v>
      </c>
      <c r="U7" s="36">
        <f t="shared" si="2"/>
        <v>0</v>
      </c>
      <c r="V7" s="13"/>
      <c r="W7" s="13"/>
      <c r="X7" s="27"/>
      <c r="Y7" s="27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33" customFormat="1" ht="15" x14ac:dyDescent="0.25">
      <c r="A8" s="12" t="s">
        <v>49</v>
      </c>
      <c r="B8" s="10">
        <v>1500000</v>
      </c>
      <c r="C8" s="10"/>
      <c r="D8" s="27"/>
      <c r="E8" s="10"/>
      <c r="F8" s="10"/>
      <c r="G8" s="26">
        <f t="shared" si="0"/>
        <v>1500000</v>
      </c>
      <c r="H8" s="48">
        <v>0.70760000000000001</v>
      </c>
      <c r="I8" s="48">
        <v>8.09E-2</v>
      </c>
      <c r="J8" s="48">
        <v>7.9399999999999998E-2</v>
      </c>
      <c r="K8" s="48">
        <v>6.83E-2</v>
      </c>
      <c r="L8" s="48">
        <v>3.3099999999999997E-2</v>
      </c>
      <c r="M8" s="48">
        <v>3.0700000000000002E-2</v>
      </c>
      <c r="N8" s="10">
        <f>+ROUND($B$8*H8,0)</f>
        <v>1061400</v>
      </c>
      <c r="O8" s="10">
        <f t="shared" ref="O8:S8" si="8">+ROUND($B$8*I8,0)</f>
        <v>121350</v>
      </c>
      <c r="P8" s="10">
        <f t="shared" si="8"/>
        <v>119100</v>
      </c>
      <c r="Q8" s="10">
        <f t="shared" si="8"/>
        <v>102450</v>
      </c>
      <c r="R8" s="10">
        <f t="shared" si="8"/>
        <v>49650</v>
      </c>
      <c r="S8" s="10">
        <f t="shared" si="8"/>
        <v>46050</v>
      </c>
      <c r="T8" s="26">
        <f t="shared" si="5"/>
        <v>1500000</v>
      </c>
      <c r="U8" s="36">
        <f t="shared" si="2"/>
        <v>0</v>
      </c>
      <c r="V8" s="13"/>
      <c r="W8" s="13"/>
      <c r="X8" s="27"/>
      <c r="Y8" s="27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47" s="9" customFormat="1" ht="24.95" customHeight="1" x14ac:dyDescent="0.25">
      <c r="A9" s="30" t="s">
        <v>29</v>
      </c>
      <c r="B9" s="10">
        <v>900000</v>
      </c>
      <c r="C9" s="10">
        <v>117000</v>
      </c>
      <c r="D9" s="27"/>
      <c r="E9" s="10"/>
      <c r="F9" s="10"/>
      <c r="G9" s="26">
        <f t="shared" si="0"/>
        <v>1017000</v>
      </c>
      <c r="H9" s="48">
        <v>0.70760000000000001</v>
      </c>
      <c r="I9" s="48">
        <v>8.09E-2</v>
      </c>
      <c r="J9" s="48">
        <v>7.9399999999999998E-2</v>
      </c>
      <c r="K9" s="48">
        <v>6.83E-2</v>
      </c>
      <c r="L9" s="48">
        <v>3.3099999999999997E-2</v>
      </c>
      <c r="M9" s="48">
        <v>3.0700000000000002E-2</v>
      </c>
      <c r="N9" s="10">
        <f>+ROUND($B$9*H9,0)</f>
        <v>636840</v>
      </c>
      <c r="O9" s="10">
        <f t="shared" ref="O9:S9" si="9">+ROUND($B$9*I9,0)</f>
        <v>72810</v>
      </c>
      <c r="P9" s="10">
        <f t="shared" si="9"/>
        <v>71460</v>
      </c>
      <c r="Q9" s="10">
        <f t="shared" si="9"/>
        <v>61470</v>
      </c>
      <c r="R9" s="10">
        <f t="shared" si="9"/>
        <v>29790</v>
      </c>
      <c r="S9" s="10">
        <f t="shared" si="9"/>
        <v>27630</v>
      </c>
      <c r="T9" s="26">
        <f t="shared" ref="T9:T11" si="10">SUM(N9:S9)</f>
        <v>900000</v>
      </c>
      <c r="U9" s="36">
        <f t="shared" si="2"/>
        <v>0</v>
      </c>
      <c r="V9" s="11"/>
      <c r="W9" s="11"/>
      <c r="X9" s="27"/>
      <c r="Y9" s="27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11" customFormat="1" ht="24.95" customHeight="1" x14ac:dyDescent="0.25">
      <c r="A10" s="30" t="s">
        <v>24</v>
      </c>
      <c r="B10" s="27">
        <v>1000000</v>
      </c>
      <c r="C10" s="10">
        <v>130000</v>
      </c>
      <c r="D10" s="27"/>
      <c r="E10" s="27"/>
      <c r="F10" s="27"/>
      <c r="G10" s="26">
        <f t="shared" si="0"/>
        <v>1130000</v>
      </c>
      <c r="H10" s="48">
        <v>0.70760000000000001</v>
      </c>
      <c r="I10" s="48">
        <v>8.09E-2</v>
      </c>
      <c r="J10" s="48">
        <v>7.9399999999999998E-2</v>
      </c>
      <c r="K10" s="48">
        <v>6.83E-2</v>
      </c>
      <c r="L10" s="48">
        <v>3.3099999999999997E-2</v>
      </c>
      <c r="M10" s="48">
        <v>3.0700000000000002E-2</v>
      </c>
      <c r="N10" s="10">
        <f>+ROUND($B$10*H10,0)</f>
        <v>707600</v>
      </c>
      <c r="O10" s="10">
        <f t="shared" ref="O10:S10" si="11">+ROUND($B$10*I10,0)</f>
        <v>80900</v>
      </c>
      <c r="P10" s="10">
        <f t="shared" si="11"/>
        <v>79400</v>
      </c>
      <c r="Q10" s="10">
        <f t="shared" si="11"/>
        <v>68300</v>
      </c>
      <c r="R10" s="10">
        <f t="shared" si="11"/>
        <v>33100</v>
      </c>
      <c r="S10" s="10">
        <f t="shared" si="11"/>
        <v>30700</v>
      </c>
      <c r="T10" s="36">
        <f t="shared" si="10"/>
        <v>1000000</v>
      </c>
      <c r="U10" s="36">
        <f t="shared" si="2"/>
        <v>0</v>
      </c>
      <c r="X10" s="27"/>
      <c r="Y10" s="27"/>
    </row>
    <row r="11" spans="1:47" s="9" customFormat="1" ht="24.95" customHeight="1" x14ac:dyDescent="0.25">
      <c r="A11" s="12" t="s">
        <v>43</v>
      </c>
      <c r="B11" s="10">
        <v>3035000</v>
      </c>
      <c r="C11" s="54">
        <v>465000</v>
      </c>
      <c r="D11" s="27"/>
      <c r="E11" s="10"/>
      <c r="F11" s="10"/>
      <c r="G11" s="26">
        <f t="shared" si="0"/>
        <v>3500000</v>
      </c>
      <c r="H11" s="48">
        <v>0.70760000000000001</v>
      </c>
      <c r="I11" s="48">
        <v>8.09E-2</v>
      </c>
      <c r="J11" s="48">
        <v>7.9399999999999998E-2</v>
      </c>
      <c r="K11" s="48">
        <v>6.83E-2</v>
      </c>
      <c r="L11" s="48">
        <v>3.3099999999999997E-2</v>
      </c>
      <c r="M11" s="48">
        <v>3.0700000000000002E-2</v>
      </c>
      <c r="N11" s="54">
        <f>+ROUND($B$11*H11,0)-2</f>
        <v>2147564</v>
      </c>
      <c r="O11" s="10">
        <f t="shared" ref="O11:S11" si="12">+ROUND($B$11*I11,0)</f>
        <v>245532</v>
      </c>
      <c r="P11" s="10">
        <f t="shared" si="12"/>
        <v>240979</v>
      </c>
      <c r="Q11" s="10">
        <f t="shared" si="12"/>
        <v>207291</v>
      </c>
      <c r="R11" s="10">
        <f t="shared" si="12"/>
        <v>100459</v>
      </c>
      <c r="S11" s="10">
        <f t="shared" si="12"/>
        <v>93175</v>
      </c>
      <c r="T11" s="26">
        <f t="shared" si="10"/>
        <v>3035000</v>
      </c>
      <c r="U11" s="133">
        <f t="shared" si="2"/>
        <v>0</v>
      </c>
      <c r="V11" s="11"/>
      <c r="W11" s="11"/>
      <c r="X11" s="27"/>
      <c r="Y11" s="27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5" customFormat="1" ht="30" x14ac:dyDescent="0.25">
      <c r="A12" s="29" t="s">
        <v>35</v>
      </c>
      <c r="B12" s="16">
        <f>SUM(B2:B11)</f>
        <v>173658550</v>
      </c>
      <c r="C12" s="16"/>
      <c r="D12" s="16">
        <v>0</v>
      </c>
      <c r="E12" s="16">
        <v>0</v>
      </c>
      <c r="F12" s="16"/>
      <c r="G12" s="16">
        <f t="shared" si="0"/>
        <v>173658550</v>
      </c>
      <c r="H12" s="48">
        <v>0.70760000000000001</v>
      </c>
      <c r="I12" s="48">
        <v>8.09E-2</v>
      </c>
      <c r="J12" s="48">
        <v>7.9399999999999998E-2</v>
      </c>
      <c r="K12" s="48">
        <v>6.83E-2</v>
      </c>
      <c r="L12" s="48">
        <v>3.3099999999999997E-2</v>
      </c>
      <c r="M12" s="48">
        <v>3.0700000000000002E-2</v>
      </c>
      <c r="N12" s="16">
        <f t="shared" ref="N12:T12" si="13">SUM(N2:N11)</f>
        <v>122328861</v>
      </c>
      <c r="O12" s="16">
        <f t="shared" si="13"/>
        <v>13985875</v>
      </c>
      <c r="P12" s="16">
        <f t="shared" si="13"/>
        <v>13726557</v>
      </c>
      <c r="Q12" s="16">
        <f t="shared" si="13"/>
        <v>11807606</v>
      </c>
      <c r="R12" s="16">
        <f t="shared" si="13"/>
        <v>5722280</v>
      </c>
      <c r="S12" s="16">
        <f t="shared" si="13"/>
        <v>6188771</v>
      </c>
      <c r="T12" s="16">
        <f t="shared" si="13"/>
        <v>173759950</v>
      </c>
      <c r="U12" s="133">
        <f t="shared" si="2"/>
        <v>101400</v>
      </c>
      <c r="V12" s="13"/>
      <c r="W12" s="13"/>
      <c r="X12" s="36"/>
      <c r="Y12" s="36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15" customFormat="1" ht="30" x14ac:dyDescent="0.25">
      <c r="A13" s="29" t="s">
        <v>34</v>
      </c>
      <c r="B13" s="16"/>
      <c r="C13" s="16">
        <f>SUM(C2:C11)-C6</f>
        <v>22693770</v>
      </c>
      <c r="D13" s="16">
        <v>0</v>
      </c>
      <c r="E13" s="16">
        <v>0</v>
      </c>
      <c r="F13" s="16"/>
      <c r="G13" s="16">
        <f t="shared" si="0"/>
        <v>22693770</v>
      </c>
      <c r="H13" s="48">
        <v>0.70760000000000001</v>
      </c>
      <c r="I13" s="48">
        <v>8.09E-2</v>
      </c>
      <c r="J13" s="48">
        <v>7.9399999999999998E-2</v>
      </c>
      <c r="K13" s="48">
        <v>6.83E-2</v>
      </c>
      <c r="L13" s="48">
        <v>3.3099999999999997E-2</v>
      </c>
      <c r="M13" s="48">
        <v>3.0700000000000002E-2</v>
      </c>
      <c r="N13" s="16">
        <f>+ROUND($C$13*H13,0)</f>
        <v>16058112</v>
      </c>
      <c r="O13" s="16">
        <f t="shared" ref="O13:S13" si="14">+ROUND($C$13*I13,0)</f>
        <v>1835926</v>
      </c>
      <c r="P13" s="16">
        <f t="shared" si="14"/>
        <v>1801885</v>
      </c>
      <c r="Q13" s="16">
        <f t="shared" si="14"/>
        <v>1549984</v>
      </c>
      <c r="R13" s="16">
        <f t="shared" si="14"/>
        <v>751164</v>
      </c>
      <c r="S13" s="16">
        <f t="shared" si="14"/>
        <v>696699</v>
      </c>
      <c r="T13" s="16">
        <f>SUM(N13:S13)</f>
        <v>22693770</v>
      </c>
      <c r="U13" s="36">
        <f>T13-C13</f>
        <v>0</v>
      </c>
      <c r="V13" s="13"/>
      <c r="W13" s="13"/>
      <c r="X13" s="36"/>
      <c r="Y13" s="36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1:47" s="4" customFormat="1" ht="33" customHeight="1" x14ac:dyDescent="0.25">
      <c r="A14" s="53" t="s">
        <v>40</v>
      </c>
      <c r="B14" s="54"/>
      <c r="C14" s="54"/>
      <c r="D14" s="54">
        <v>5000000</v>
      </c>
      <c r="E14" s="54"/>
      <c r="F14" s="54"/>
      <c r="G14" s="40">
        <f t="shared" si="0"/>
        <v>5000000</v>
      </c>
      <c r="H14" s="48">
        <v>0.70760000000000001</v>
      </c>
      <c r="I14" s="48">
        <v>8.09E-2</v>
      </c>
      <c r="J14" s="48">
        <v>7.9399999999999998E-2</v>
      </c>
      <c r="K14" s="48">
        <v>6.83E-2</v>
      </c>
      <c r="L14" s="48">
        <v>3.3099999999999997E-2</v>
      </c>
      <c r="M14" s="48">
        <v>3.0700000000000002E-2</v>
      </c>
      <c r="N14" s="40">
        <f>+ROUND($D$14*H14,0)</f>
        <v>3538000</v>
      </c>
      <c r="O14" s="40">
        <f t="shared" ref="O14:S14" si="15">+ROUND($D$14*I14,0)</f>
        <v>404500</v>
      </c>
      <c r="P14" s="40">
        <f t="shared" si="15"/>
        <v>397000</v>
      </c>
      <c r="Q14" s="40">
        <f t="shared" si="15"/>
        <v>341500</v>
      </c>
      <c r="R14" s="40">
        <f t="shared" si="15"/>
        <v>165500</v>
      </c>
      <c r="S14" s="40">
        <f t="shared" si="15"/>
        <v>153500</v>
      </c>
      <c r="T14" s="40">
        <f t="shared" ref="T14:T19" si="16">SUM(N14:S14)</f>
        <v>5000000</v>
      </c>
      <c r="U14" s="36">
        <f>T14-D14</f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4" customFormat="1" ht="45" x14ac:dyDescent="0.25">
      <c r="A15" s="12" t="s">
        <v>39</v>
      </c>
      <c r="B15" s="10"/>
      <c r="C15" s="10"/>
      <c r="D15" s="27">
        <v>27600000</v>
      </c>
      <c r="E15" s="10"/>
      <c r="F15" s="10"/>
      <c r="G15" s="26">
        <f t="shared" si="0"/>
        <v>27600000</v>
      </c>
      <c r="H15" s="48"/>
      <c r="I15" s="48"/>
      <c r="J15" s="48"/>
      <c r="K15" s="48"/>
      <c r="L15" s="48"/>
      <c r="M15" s="48"/>
      <c r="N15" s="10">
        <v>27600000</v>
      </c>
      <c r="O15" s="10"/>
      <c r="P15" s="10"/>
      <c r="Q15" s="10"/>
      <c r="R15" s="5"/>
      <c r="S15" s="5"/>
      <c r="T15" s="26">
        <f>SUM(N15:S15)</f>
        <v>27600000</v>
      </c>
      <c r="U15" s="24">
        <f>T15-N15</f>
        <v>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4" customFormat="1" ht="15" x14ac:dyDescent="0.25">
      <c r="A16" s="12" t="s">
        <v>26</v>
      </c>
      <c r="B16" s="10"/>
      <c r="C16" s="10"/>
      <c r="D16" s="27"/>
      <c r="E16" s="10">
        <v>1143000</v>
      </c>
      <c r="F16" s="10"/>
      <c r="G16" s="26">
        <v>1143000</v>
      </c>
      <c r="H16" s="48"/>
      <c r="I16" s="48"/>
      <c r="J16" s="48"/>
      <c r="K16" s="48"/>
      <c r="L16" s="48"/>
      <c r="M16" s="48"/>
      <c r="N16" s="10">
        <v>1143000</v>
      </c>
      <c r="O16" s="10"/>
      <c r="P16" s="10"/>
      <c r="Q16" s="10"/>
      <c r="R16" s="5"/>
      <c r="S16" s="5"/>
      <c r="T16" s="26">
        <f>SUM(N16:S16)</f>
        <v>1143000</v>
      </c>
      <c r="U16" s="24">
        <f t="shared" ref="U16:U19" si="17">T16-N16</f>
        <v>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4" customFormat="1" ht="15" x14ac:dyDescent="0.25">
      <c r="A17" s="12" t="s">
        <v>41</v>
      </c>
      <c r="B17" s="10"/>
      <c r="C17" s="10"/>
      <c r="D17" s="27"/>
      <c r="E17" s="10"/>
      <c r="F17" s="10"/>
      <c r="G17" s="26">
        <v>878748</v>
      </c>
      <c r="H17" s="5"/>
      <c r="I17" s="5"/>
      <c r="J17" s="5"/>
      <c r="K17" s="5"/>
      <c r="L17" s="5"/>
      <c r="M17" s="5"/>
      <c r="N17" s="10">
        <f>ROUND($G$17*'2.mell.Bevételek'!D5,0)-1</f>
        <v>681450</v>
      </c>
      <c r="O17" s="10">
        <f>ROUND($G$17*'2.mell.Bevételek'!E5,0)</f>
        <v>66664</v>
      </c>
      <c r="P17" s="10">
        <f>ROUND($G$17*'2.mell.Bevételek'!F5,0)</f>
        <v>66664</v>
      </c>
      <c r="Q17" s="10">
        <f>ROUND($G$17*'2.mell.Bevételek'!G5,0)</f>
        <v>63970</v>
      </c>
      <c r="R17" s="5"/>
      <c r="S17" s="5"/>
      <c r="T17" s="26">
        <f>SUM(N17:S17)</f>
        <v>878748</v>
      </c>
      <c r="U17" s="24">
        <f>T17-G17</f>
        <v>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4" customFormat="1" ht="15" x14ac:dyDescent="0.25">
      <c r="A18" s="18" t="s">
        <v>147</v>
      </c>
      <c r="B18" s="10"/>
      <c r="C18" s="10"/>
      <c r="D18" s="10"/>
      <c r="E18" s="10"/>
      <c r="F18" s="10"/>
      <c r="G18" s="26">
        <v>928784</v>
      </c>
      <c r="H18" s="5"/>
      <c r="I18" s="5"/>
      <c r="J18" s="5"/>
      <c r="K18" s="5"/>
      <c r="L18" s="5"/>
      <c r="M18" s="5"/>
      <c r="N18" s="10">
        <v>928784</v>
      </c>
      <c r="O18" s="10"/>
      <c r="P18" s="10"/>
      <c r="Q18" s="10"/>
      <c r="R18" s="10"/>
      <c r="S18" s="5"/>
      <c r="T18" s="26">
        <f t="shared" si="16"/>
        <v>928784</v>
      </c>
      <c r="U18" s="24">
        <f t="shared" si="17"/>
        <v>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4" customFormat="1" ht="15" x14ac:dyDescent="0.25">
      <c r="A19" s="18" t="s">
        <v>148</v>
      </c>
      <c r="B19" s="10"/>
      <c r="C19" s="10"/>
      <c r="D19" s="10"/>
      <c r="E19" s="10"/>
      <c r="F19" s="10"/>
      <c r="G19" s="133">
        <v>726483</v>
      </c>
      <c r="H19" s="5"/>
      <c r="I19" s="5"/>
      <c r="J19" s="5"/>
      <c r="K19" s="5"/>
      <c r="L19" s="5"/>
      <c r="M19" s="5"/>
      <c r="N19" s="10">
        <v>726483</v>
      </c>
      <c r="O19" s="10"/>
      <c r="P19" s="10"/>
      <c r="Q19" s="10"/>
      <c r="R19" s="10"/>
      <c r="S19" s="5"/>
      <c r="T19" s="26">
        <f t="shared" si="16"/>
        <v>726483</v>
      </c>
      <c r="U19" s="24">
        <f t="shared" si="17"/>
        <v>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14" customFormat="1" ht="24.95" customHeight="1" x14ac:dyDescent="0.25">
      <c r="A20" s="31" t="s">
        <v>8</v>
      </c>
      <c r="B20" s="28">
        <f>SUM(B12:B19)</f>
        <v>173658550</v>
      </c>
      <c r="C20" s="28">
        <f>SUM(C13:C19)</f>
        <v>22693770</v>
      </c>
      <c r="D20" s="28">
        <f>SUM(D14:D19)</f>
        <v>32600000</v>
      </c>
      <c r="E20" s="28">
        <f>SUM(E14:E19)</f>
        <v>1143000</v>
      </c>
      <c r="F20" s="28">
        <f>SUM(F2:F19)</f>
        <v>0</v>
      </c>
      <c r="G20" s="28">
        <f>SUM(B20:F20)</f>
        <v>230095320</v>
      </c>
      <c r="H20" s="23"/>
      <c r="I20" s="23"/>
      <c r="J20" s="23"/>
      <c r="K20" s="23"/>
      <c r="L20" s="23"/>
      <c r="M20" s="23"/>
      <c r="N20" s="28">
        <f t="shared" ref="N20:S20" si="18">SUM(N12:N19)</f>
        <v>173004690</v>
      </c>
      <c r="O20" s="28">
        <f t="shared" si="18"/>
        <v>16292965</v>
      </c>
      <c r="P20" s="47">
        <f t="shared" si="18"/>
        <v>15992106</v>
      </c>
      <c r="Q20" s="47">
        <f t="shared" si="18"/>
        <v>13763060</v>
      </c>
      <c r="R20" s="28">
        <f t="shared" si="18"/>
        <v>6638944</v>
      </c>
      <c r="S20" s="28">
        <f t="shared" si="18"/>
        <v>7038970</v>
      </c>
      <c r="T20" s="28">
        <f>SUM(N20:S20)</f>
        <v>232730735</v>
      </c>
      <c r="U20" s="24">
        <f>SUM(N20:S20)</f>
        <v>232730735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4" customFormat="1" ht="24.95" customHeight="1" x14ac:dyDescent="0.25">
      <c r="A21" s="12"/>
      <c r="B21" s="9"/>
      <c r="C21" s="5"/>
      <c r="D21"/>
      <c r="E21" s="5"/>
      <c r="F21" s="5"/>
      <c r="G21" s="5">
        <f>SUM(G12:G19)</f>
        <v>232629335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>SUM(T12:T19)</f>
        <v>232730735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24.95" customHeight="1" x14ac:dyDescent="0.25">
      <c r="G22" s="5">
        <v>101400</v>
      </c>
      <c r="H22" s="5"/>
      <c r="I22" s="5"/>
      <c r="J22" s="5"/>
      <c r="K22" s="5"/>
      <c r="L22" s="5"/>
      <c r="M22" s="5"/>
      <c r="N22" s="52">
        <f>N20/T20</f>
        <v>0.74336846828589276</v>
      </c>
      <c r="O22" s="52">
        <f>O20/T20</f>
        <v>7.0007792481727865E-2</v>
      </c>
      <c r="P22" s="52">
        <f>P20/T20</f>
        <v>6.8715058198050211E-2</v>
      </c>
      <c r="Q22" s="52">
        <f>Q20/T20</f>
        <v>5.9137268655126279E-2</v>
      </c>
      <c r="R22" s="52">
        <f>R20/T20</f>
        <v>2.8526288115748873E-2</v>
      </c>
      <c r="S22" s="52">
        <f>S20/T20</f>
        <v>3.0245124263454073E-2</v>
      </c>
      <c r="T22" s="52">
        <f>SUM(N22:S22)</f>
        <v>1</v>
      </c>
    </row>
    <row r="23" spans="1:47" ht="24.95" customHeight="1" x14ac:dyDescent="0.25">
      <c r="G23" s="5">
        <f>SUM(G21:G22)</f>
        <v>232730735</v>
      </c>
      <c r="H23" s="5"/>
      <c r="I23" s="5"/>
      <c r="J23" s="5"/>
      <c r="K23" s="5"/>
      <c r="L23" s="5"/>
      <c r="M23" s="5"/>
    </row>
    <row r="24" spans="1:47" ht="24.95" customHeight="1" x14ac:dyDescent="0.25">
      <c r="H24" s="5"/>
      <c r="I24" s="5"/>
      <c r="J24" s="5"/>
      <c r="K24" s="5"/>
      <c r="L24" s="5"/>
      <c r="M24" s="5"/>
    </row>
    <row r="25" spans="1:47" ht="24.95" customHeight="1" x14ac:dyDescent="0.25">
      <c r="H25" s="5"/>
      <c r="I25" s="5"/>
      <c r="J25" s="5"/>
      <c r="K25" s="5"/>
      <c r="L25" s="5"/>
      <c r="M25" s="5"/>
      <c r="N25" s="5"/>
    </row>
    <row r="26" spans="1:47" ht="24.95" customHeight="1" x14ac:dyDescent="0.25">
      <c r="H26" s="5"/>
      <c r="I26" s="5"/>
      <c r="J26" s="5"/>
      <c r="K26" s="5"/>
      <c r="L26" s="5"/>
      <c r="M26" s="5"/>
    </row>
    <row r="27" spans="1:47" ht="24.95" customHeight="1" x14ac:dyDescent="0.25">
      <c r="H27" s="5"/>
      <c r="I27" s="5"/>
      <c r="J27" s="5"/>
      <c r="K27" s="5"/>
      <c r="L27" s="5"/>
      <c r="M27" s="5"/>
    </row>
    <row r="28" spans="1:47" ht="24.95" customHeight="1" x14ac:dyDescent="0.25">
      <c r="H28" s="5"/>
      <c r="I28" s="5"/>
      <c r="J28" s="5"/>
      <c r="K28" s="5"/>
      <c r="L28" s="5"/>
      <c r="M28" s="5"/>
    </row>
    <row r="29" spans="1:47" ht="24.95" customHeight="1" x14ac:dyDescent="0.25">
      <c r="H29" s="5"/>
      <c r="I29" s="5"/>
      <c r="J29" s="5"/>
      <c r="K29" s="5"/>
      <c r="L29" s="5"/>
      <c r="M29" s="5"/>
    </row>
    <row r="30" spans="1:47" ht="24.95" customHeight="1" x14ac:dyDescent="0.25">
      <c r="H30" s="5"/>
      <c r="I30" s="5"/>
      <c r="J30" s="5"/>
      <c r="K30" s="5"/>
      <c r="L30" s="5"/>
      <c r="M30" s="5"/>
    </row>
  </sheetData>
  <sortState ref="A7:AU8">
    <sortCondition ref="A7:A8"/>
  </sortState>
  <printOptions horizontalCentered="1"/>
  <pageMargins left="0.31496062992125984" right="0.31496062992125984" top="0.74803149606299213" bottom="0.74803149606299213" header="0.31496062992125984" footer="0.31496062992125984"/>
  <pageSetup paperSize="9" scale="54" orientation="landscape" r:id="rId1"/>
  <headerFooter>
    <oddHeader>&amp;LBátaszéki Közös Önkormányzati Hivatal&amp;C2023.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zoomScaleNormal="100" workbookViewId="0">
      <selection activeCell="I12" sqref="I12:M14"/>
    </sheetView>
  </sheetViews>
  <sheetFormatPr defaultColWidth="8.85546875" defaultRowHeight="15" x14ac:dyDescent="0.25"/>
  <cols>
    <col min="1" max="1" width="28.5703125" style="1" bestFit="1" customWidth="1"/>
    <col min="2" max="2" width="11.140625" style="1" bestFit="1" customWidth="1"/>
    <col min="3" max="3" width="13.7109375" style="4" customWidth="1"/>
    <col min="4" max="4" width="11" style="4" customWidth="1"/>
    <col min="5" max="5" width="10.5703125" style="4" customWidth="1"/>
    <col min="6" max="7" width="12.5703125" style="4" customWidth="1"/>
    <col min="8" max="8" width="15.85546875" style="4" bestFit="1" customWidth="1"/>
    <col min="9" max="9" width="10.7109375" style="4" customWidth="1"/>
    <col min="10" max="10" width="12" style="4" bestFit="1" customWidth="1"/>
    <col min="11" max="11" width="12" style="4" customWidth="1"/>
    <col min="12" max="12" width="13.28515625" style="4" customWidth="1"/>
    <col min="13" max="13" width="10" style="4" customWidth="1"/>
    <col min="14" max="14" width="13.28515625" style="4" bestFit="1" customWidth="1"/>
    <col min="15" max="15" width="8.85546875" style="2"/>
    <col min="16" max="16" width="20.140625" style="2" customWidth="1"/>
    <col min="17" max="17" width="19.85546875" style="2" customWidth="1"/>
    <col min="18" max="18" width="10.140625" style="2" bestFit="1" customWidth="1"/>
    <col min="19" max="19" width="8.85546875" style="2"/>
    <col min="20" max="20" width="12.140625" style="2" bestFit="1" customWidth="1"/>
    <col min="21" max="43" width="8.85546875" style="2"/>
    <col min="44" max="16384" width="8.85546875" style="1"/>
  </cols>
  <sheetData>
    <row r="1" spans="1:43" ht="47.25" customHeight="1" x14ac:dyDescent="0.25">
      <c r="A1" s="129" t="s">
        <v>9</v>
      </c>
      <c r="B1" s="129" t="s">
        <v>7</v>
      </c>
      <c r="C1" s="128" t="s">
        <v>0</v>
      </c>
      <c r="D1" s="130" t="s">
        <v>4</v>
      </c>
      <c r="E1" s="130" t="s">
        <v>5</v>
      </c>
      <c r="F1" s="130" t="s">
        <v>6</v>
      </c>
      <c r="G1" s="130" t="s">
        <v>46</v>
      </c>
      <c r="H1" s="128" t="s">
        <v>1</v>
      </c>
      <c r="I1" s="128" t="s">
        <v>2</v>
      </c>
      <c r="J1" s="128" t="s">
        <v>3</v>
      </c>
      <c r="K1" s="128" t="s">
        <v>45</v>
      </c>
      <c r="L1" s="130" t="s">
        <v>47</v>
      </c>
      <c r="M1" s="130" t="s">
        <v>48</v>
      </c>
      <c r="N1" s="128" t="s">
        <v>8</v>
      </c>
      <c r="P1" s="30"/>
      <c r="Q1" s="30"/>
      <c r="R1" s="30"/>
    </row>
    <row r="2" spans="1:43" s="37" customFormat="1" ht="28.5" customHeight="1" x14ac:dyDescent="0.25">
      <c r="A2" s="3" t="s">
        <v>10</v>
      </c>
      <c r="B2" s="37">
        <v>26.1</v>
      </c>
      <c r="C2" s="26">
        <v>147484816</v>
      </c>
      <c r="D2" s="38">
        <v>20.239999999999998</v>
      </c>
      <c r="E2" s="38">
        <v>1.98</v>
      </c>
      <c r="F2" s="38">
        <v>1.98</v>
      </c>
      <c r="G2" s="38">
        <v>1.9</v>
      </c>
      <c r="H2" s="26">
        <f>+ROUND($C$2*D4,0)</f>
        <v>114371367</v>
      </c>
      <c r="I2" s="26">
        <f>+ROUND($C$2*E4,0)</f>
        <v>11188503</v>
      </c>
      <c r="J2" s="26">
        <f>+ROUND($C$2*F4,0)</f>
        <v>11188503</v>
      </c>
      <c r="K2" s="26">
        <f>+ROUND($C$2*G4,0)</f>
        <v>10736443</v>
      </c>
      <c r="L2" s="10"/>
      <c r="M2" s="26"/>
      <c r="N2" s="26">
        <f>SUM(H2:M2)</f>
        <v>147484816</v>
      </c>
      <c r="O2" s="8"/>
      <c r="P2" s="136">
        <f>N2+H12+H13+N3</f>
        <v>205402156</v>
      </c>
      <c r="Q2" s="49"/>
      <c r="R2" s="49"/>
      <c r="S2" s="55"/>
      <c r="T2" s="4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37" customFormat="1" ht="28.5" customHeight="1" x14ac:dyDescent="0.25">
      <c r="A3" s="3" t="s">
        <v>151</v>
      </c>
      <c r="C3" s="26">
        <v>8949774</v>
      </c>
      <c r="D3" s="38">
        <v>20.239999999999998</v>
      </c>
      <c r="E3" s="38">
        <v>1.98</v>
      </c>
      <c r="F3" s="38">
        <v>1.98</v>
      </c>
      <c r="G3" s="38">
        <v>1.9</v>
      </c>
      <c r="H3" s="26">
        <f>+ROUND($C$3*D4,0)+1</f>
        <v>6940362</v>
      </c>
      <c r="I3" s="26">
        <f>+ROUND($C$3*E4,0)</f>
        <v>678948</v>
      </c>
      <c r="J3" s="26">
        <f>+ROUND($C$3*F4,0)</f>
        <v>678948</v>
      </c>
      <c r="K3" s="26">
        <f>+ROUND($C$3*G4,0)</f>
        <v>651516</v>
      </c>
      <c r="L3" s="10"/>
      <c r="M3" s="26"/>
      <c r="N3" s="26">
        <f>SUM(H3:M3)</f>
        <v>8949774</v>
      </c>
      <c r="O3" s="8"/>
      <c r="P3" s="136"/>
      <c r="Q3" s="49"/>
      <c r="R3" s="49"/>
      <c r="S3" s="55"/>
      <c r="T3" s="4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37" customFormat="1" ht="28.5" customHeight="1" x14ac:dyDescent="0.25">
      <c r="A4" s="3"/>
      <c r="B4" s="56">
        <v>1</v>
      </c>
      <c r="C4" s="56"/>
      <c r="D4" s="50">
        <f>D2/B2</f>
        <v>0.77547892720306499</v>
      </c>
      <c r="E4" s="50">
        <f>E2/B2</f>
        <v>7.586206896551724E-2</v>
      </c>
      <c r="F4" s="50">
        <f>F2/B2</f>
        <v>7.586206896551724E-2</v>
      </c>
      <c r="G4" s="50">
        <f>G2/B2</f>
        <v>7.2796934865900373E-2</v>
      </c>
      <c r="H4" s="26"/>
      <c r="I4" s="26"/>
      <c r="J4" s="26"/>
      <c r="K4" s="26"/>
      <c r="L4" s="26"/>
      <c r="M4" s="26"/>
      <c r="N4" s="26"/>
      <c r="O4" s="8"/>
      <c r="P4" s="49"/>
      <c r="Q4" s="49"/>
      <c r="R4" s="49"/>
      <c r="S4" s="55"/>
      <c r="T4" s="4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33" customFormat="1" x14ac:dyDescent="0.25">
      <c r="A5" s="39" t="s">
        <v>25</v>
      </c>
      <c r="C5" s="26">
        <v>878748</v>
      </c>
      <c r="D5" s="50">
        <f>D4/B4</f>
        <v>0.77547892720306499</v>
      </c>
      <c r="E5" s="50">
        <f>E4/B4</f>
        <v>7.586206896551724E-2</v>
      </c>
      <c r="F5" s="50">
        <f>F4/B4</f>
        <v>7.586206896551724E-2</v>
      </c>
      <c r="G5" s="50">
        <f>G4/B4</f>
        <v>7.2796934865900373E-2</v>
      </c>
      <c r="H5" s="26">
        <f>+ROUND($C$5*D5,0)-1</f>
        <v>681450</v>
      </c>
      <c r="I5" s="26">
        <f t="shared" ref="I5:K5" si="0">+ROUND($C$5*E5,0)</f>
        <v>66664</v>
      </c>
      <c r="J5" s="26">
        <f t="shared" si="0"/>
        <v>66664</v>
      </c>
      <c r="K5" s="26">
        <f t="shared" si="0"/>
        <v>63970</v>
      </c>
      <c r="L5" s="26"/>
      <c r="M5" s="26"/>
      <c r="N5" s="26">
        <f>SUM(H5:M5)</f>
        <v>878748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s="4" customFormat="1" x14ac:dyDescent="0.25">
      <c r="A6" s="18" t="s">
        <v>147</v>
      </c>
      <c r="B6" s="10"/>
      <c r="C6" s="10">
        <v>928784</v>
      </c>
      <c r="D6" s="10"/>
      <c r="E6" s="5"/>
      <c r="F6" s="5"/>
      <c r="G6" s="5"/>
      <c r="H6" s="10">
        <v>928784</v>
      </c>
      <c r="I6" s="10"/>
      <c r="J6" s="10"/>
      <c r="K6" s="10"/>
      <c r="L6" s="10"/>
      <c r="M6" s="5"/>
      <c r="N6" s="26">
        <f t="shared" ref="N6:N11" si="1">SUM(H6:M6)</f>
        <v>928784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" customFormat="1" x14ac:dyDescent="0.25">
      <c r="A7" s="18" t="s">
        <v>148</v>
      </c>
      <c r="B7" s="10"/>
      <c r="C7" s="10">
        <v>726483</v>
      </c>
      <c r="D7" s="10"/>
      <c r="E7" s="5"/>
      <c r="F7" s="5"/>
      <c r="G7" s="5"/>
      <c r="H7" s="10">
        <v>726483</v>
      </c>
      <c r="I7" s="10"/>
      <c r="J7" s="10"/>
      <c r="K7" s="10"/>
      <c r="L7" s="10"/>
      <c r="M7" s="5"/>
      <c r="N7" s="26">
        <f t="shared" si="1"/>
        <v>726483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4" customFormat="1" x14ac:dyDescent="0.25">
      <c r="A8" s="18" t="s">
        <v>11</v>
      </c>
      <c r="C8" s="54">
        <v>360000</v>
      </c>
      <c r="D8" s="10"/>
      <c r="E8" s="5"/>
      <c r="F8" s="5"/>
      <c r="G8" s="5"/>
      <c r="H8" s="10">
        <v>360000</v>
      </c>
      <c r="I8" s="10"/>
      <c r="J8" s="10"/>
      <c r="K8" s="10"/>
      <c r="L8" s="10"/>
      <c r="M8" s="5"/>
      <c r="N8" s="26">
        <f t="shared" si="1"/>
        <v>360000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4" customFormat="1" x14ac:dyDescent="0.25">
      <c r="A9" s="18" t="s">
        <v>12</v>
      </c>
      <c r="C9" s="54">
        <v>1940000</v>
      </c>
      <c r="D9" s="10"/>
      <c r="E9" s="5"/>
      <c r="F9" s="5"/>
      <c r="G9" s="5"/>
      <c r="H9" s="10">
        <v>1940000</v>
      </c>
      <c r="I9" s="5"/>
      <c r="J9" s="5"/>
      <c r="K9" s="5"/>
      <c r="L9" s="5"/>
      <c r="M9" s="5"/>
      <c r="N9" s="26">
        <f t="shared" si="1"/>
        <v>1940000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" customFormat="1" x14ac:dyDescent="0.25">
      <c r="A10" s="18" t="s">
        <v>13</v>
      </c>
      <c r="C10" s="54">
        <v>621000</v>
      </c>
      <c r="D10" s="10"/>
      <c r="E10" s="5"/>
      <c r="F10" s="5"/>
      <c r="G10" s="5"/>
      <c r="H10" s="10">
        <v>621000</v>
      </c>
      <c r="I10" s="5"/>
      <c r="J10" s="5"/>
      <c r="K10" s="5"/>
      <c r="L10" s="5"/>
      <c r="M10" s="5"/>
      <c r="N10" s="26">
        <f t="shared" si="1"/>
        <v>621000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x14ac:dyDescent="0.25">
      <c r="A11" s="18" t="s">
        <v>27</v>
      </c>
      <c r="C11" s="54">
        <f>792059</f>
        <v>792059</v>
      </c>
      <c r="D11" s="10"/>
      <c r="E11" s="5"/>
      <c r="F11" s="5"/>
      <c r="G11" s="5"/>
      <c r="H11" s="10">
        <f>792059</f>
        <v>792059</v>
      </c>
      <c r="I11" s="5"/>
      <c r="J11" s="5"/>
      <c r="K11" s="5"/>
      <c r="L11" s="5"/>
      <c r="M11" s="5"/>
      <c r="N11" s="26">
        <f t="shared" si="1"/>
        <v>792059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ht="26.25" x14ac:dyDescent="0.25">
      <c r="A12" s="19" t="s">
        <v>28</v>
      </c>
      <c r="B12" s="10"/>
      <c r="C12" s="10"/>
      <c r="D12" s="5"/>
      <c r="E12" s="5"/>
      <c r="F12" s="5"/>
      <c r="G12" s="5"/>
      <c r="H12" s="127">
        <v>48741551</v>
      </c>
      <c r="I12" s="127">
        <v>2000000</v>
      </c>
      <c r="J12" s="127">
        <v>2000000</v>
      </c>
      <c r="K12" s="127">
        <v>1500000</v>
      </c>
      <c r="L12" s="5"/>
      <c r="M12" s="5"/>
      <c r="N12" s="26">
        <f>SUM(H12:M12)</f>
        <v>54241551</v>
      </c>
      <c r="O12" s="6"/>
      <c r="P12" s="135">
        <f>SUM(I12:K12)</f>
        <v>5500000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x14ac:dyDescent="0.25">
      <c r="A13" s="19" t="s">
        <v>150</v>
      </c>
      <c r="B13" s="10"/>
      <c r="C13" s="10"/>
      <c r="D13" s="5"/>
      <c r="E13" s="5"/>
      <c r="F13" s="5"/>
      <c r="G13" s="5"/>
      <c r="H13" s="127">
        <v>226015</v>
      </c>
      <c r="I13" s="127">
        <v>607644</v>
      </c>
      <c r="J13" s="127">
        <v>660321</v>
      </c>
      <c r="K13" s="127">
        <v>861640</v>
      </c>
      <c r="L13" s="5"/>
      <c r="M13" s="5"/>
      <c r="N13" s="26">
        <f>SUM(H13:M13)</f>
        <v>2355620</v>
      </c>
      <c r="O13" s="6"/>
      <c r="P13" s="135">
        <f>SUM(I13:K13)</f>
        <v>2129605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4" customFormat="1" ht="26.25" x14ac:dyDescent="0.25">
      <c r="A14" s="19" t="s">
        <v>30</v>
      </c>
      <c r="B14" s="10"/>
      <c r="C14" s="10"/>
      <c r="D14" s="5"/>
      <c r="E14" s="5"/>
      <c r="F14" s="5"/>
      <c r="G14" s="5"/>
      <c r="H14" s="138"/>
      <c r="I14" s="5"/>
      <c r="J14" s="5"/>
      <c r="K14" s="5"/>
      <c r="L14" s="10">
        <v>6521686</v>
      </c>
      <c r="M14" s="10">
        <v>6930214</v>
      </c>
      <c r="N14" s="26">
        <f>SUM(H14:M14)</f>
        <v>13451900</v>
      </c>
      <c r="O14" s="6"/>
      <c r="P14" s="24">
        <f>N14</f>
        <v>13451900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9" customFormat="1" ht="26.25" x14ac:dyDescent="0.25">
      <c r="A15" s="39" t="s">
        <v>31</v>
      </c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6"/>
      <c r="O15" s="11"/>
      <c r="P15" s="27">
        <f>SUM(P12:P14)</f>
        <v>21081505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41" customFormat="1" x14ac:dyDescent="0.25">
      <c r="A16" s="21" t="s">
        <v>14</v>
      </c>
      <c r="B16" s="20"/>
      <c r="C16" s="40"/>
      <c r="D16" s="40"/>
      <c r="E16" s="40"/>
      <c r="F16" s="40"/>
      <c r="G16" s="40"/>
      <c r="H16" s="40">
        <f t="shared" ref="H16:M16" si="2">SUM(H2:H15)</f>
        <v>176329071</v>
      </c>
      <c r="I16" s="40">
        <f t="shared" si="2"/>
        <v>14541759</v>
      </c>
      <c r="J16" s="40">
        <f t="shared" si="2"/>
        <v>14594436</v>
      </c>
      <c r="K16" s="40">
        <f t="shared" si="2"/>
        <v>13813569</v>
      </c>
      <c r="L16" s="40">
        <f t="shared" si="2"/>
        <v>6521686</v>
      </c>
      <c r="M16" s="40">
        <f t="shared" si="2"/>
        <v>6930214</v>
      </c>
      <c r="N16" s="40">
        <f>SUM(N2:N11)+N12+N14+N13</f>
        <v>232730735</v>
      </c>
      <c r="O16" s="13"/>
      <c r="P16" s="36">
        <f>SUM(H16:M16)</f>
        <v>232730735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13" customFormat="1" x14ac:dyDescent="0.25">
      <c r="A17" s="35"/>
      <c r="C17" s="36"/>
      <c r="D17" s="36"/>
      <c r="E17" s="36"/>
      <c r="F17" s="36"/>
      <c r="G17" s="36"/>
      <c r="H17" s="42"/>
      <c r="I17" s="42"/>
      <c r="J17" s="42"/>
      <c r="K17" s="42"/>
      <c r="L17" s="42"/>
      <c r="M17" s="42"/>
      <c r="N17" s="42"/>
    </row>
    <row r="18" spans="1:43" s="9" customFormat="1" ht="28.5" customHeight="1" x14ac:dyDescent="0.25">
      <c r="A18" s="43" t="s">
        <v>32</v>
      </c>
      <c r="B18" s="34"/>
      <c r="C18" s="44"/>
      <c r="D18" s="45"/>
      <c r="E18" s="45"/>
      <c r="F18" s="45"/>
      <c r="G18" s="45"/>
      <c r="H18" s="16">
        <f>'1.mell.Kiadások'!N20</f>
        <v>173004690</v>
      </c>
      <c r="I18" s="16">
        <f>'1.mell.Kiadások'!O20</f>
        <v>16292965</v>
      </c>
      <c r="J18" s="16">
        <f>'1.mell.Kiadások'!P20</f>
        <v>15992106</v>
      </c>
      <c r="K18" s="16">
        <f>'1.mell.Kiadások'!Q20</f>
        <v>13763060</v>
      </c>
      <c r="L18" s="16">
        <f>'1.mell.Kiadások'!R20</f>
        <v>6638944</v>
      </c>
      <c r="M18" s="16">
        <f>'1.mell.Kiadások'!S20</f>
        <v>7038970</v>
      </c>
      <c r="N18" s="16">
        <f>SUM(H18:M18)</f>
        <v>232730735</v>
      </c>
      <c r="O18" s="11"/>
      <c r="P18" s="27">
        <f>SUM(H18:M18)</f>
        <v>232730735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11" customFormat="1" x14ac:dyDescent="0.25">
      <c r="C19" s="27"/>
      <c r="D19" s="27"/>
      <c r="E19" s="27"/>
      <c r="F19" s="27"/>
      <c r="G19" s="27"/>
      <c r="H19" s="27"/>
      <c r="I19" s="27"/>
      <c r="J19" s="27"/>
      <c r="K19" s="27"/>
    </row>
    <row r="20" spans="1:43" s="2" customFormat="1" x14ac:dyDescent="0.25">
      <c r="C20" s="24">
        <f>SUM(C5:C7)</f>
        <v>2534015</v>
      </c>
      <c r="D20" s="24"/>
      <c r="E20" s="24"/>
      <c r="F20" s="24"/>
      <c r="G20" s="24"/>
      <c r="H20" s="24"/>
      <c r="I20" s="24"/>
      <c r="J20" s="24"/>
      <c r="K20" s="24"/>
      <c r="L20" s="6"/>
      <c r="M20" s="6"/>
      <c r="N20" s="6"/>
    </row>
    <row r="21" spans="1:43" s="8" customFormat="1" x14ac:dyDescent="0.25">
      <c r="C21" s="25"/>
      <c r="D21" s="25"/>
      <c r="E21" s="25"/>
      <c r="F21" s="25" t="s">
        <v>153</v>
      </c>
      <c r="G21" s="25"/>
      <c r="H21" s="25">
        <f>H18-H16</f>
        <v>-3324381</v>
      </c>
      <c r="I21" s="25">
        <f>I18-I16</f>
        <v>1751206</v>
      </c>
      <c r="J21" s="25">
        <f t="shared" ref="J21:M21" si="3">J18-J16</f>
        <v>1397670</v>
      </c>
      <c r="K21" s="25">
        <f t="shared" si="3"/>
        <v>-50509</v>
      </c>
      <c r="L21" s="25">
        <f t="shared" si="3"/>
        <v>117258</v>
      </c>
      <c r="M21" s="25">
        <f t="shared" si="3"/>
        <v>108756</v>
      </c>
      <c r="N21" s="25">
        <f>SUM(H21:M21)</f>
        <v>0</v>
      </c>
    </row>
    <row r="22" spans="1:43" s="2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6"/>
      <c r="M22" s="6"/>
      <c r="N22" s="6"/>
    </row>
    <row r="23" spans="1:43" s="2" customFormat="1" x14ac:dyDescent="0.25">
      <c r="C23" s="24"/>
      <c r="D23" s="24"/>
      <c r="E23" s="24"/>
      <c r="F23" s="24"/>
      <c r="G23" s="24"/>
      <c r="H23" s="51">
        <f>H16/N16</f>
        <v>0.75765270538934193</v>
      </c>
      <c r="I23" s="51">
        <f>I16/N16</f>
        <v>6.2483191143619256E-2</v>
      </c>
      <c r="J23" s="51">
        <f>J16/N16</f>
        <v>6.2709534260698307E-2</v>
      </c>
      <c r="K23" s="51">
        <f>K16/N16</f>
        <v>5.9354296285791391E-2</v>
      </c>
      <c r="L23" s="51">
        <f>L16/N16</f>
        <v>2.802245264253559E-2</v>
      </c>
      <c r="M23" s="51">
        <f>M16/N16</f>
        <v>2.977782027801356E-2</v>
      </c>
      <c r="N23" s="51">
        <f>SUM(H23:M23)</f>
        <v>1</v>
      </c>
    </row>
    <row r="24" spans="1:43" s="2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6"/>
      <c r="M24" s="6"/>
      <c r="N24" s="6"/>
    </row>
    <row r="25" spans="1:43" s="2" customFormat="1" x14ac:dyDescent="0.25">
      <c r="C25" s="24"/>
      <c r="D25" s="24"/>
      <c r="E25" s="24"/>
      <c r="F25" s="24"/>
      <c r="G25" s="24"/>
      <c r="H25" s="24">
        <v>4433653</v>
      </c>
      <c r="I25" s="24">
        <v>392356</v>
      </c>
      <c r="J25" s="24">
        <v>397670</v>
      </c>
      <c r="K25" s="24">
        <v>409560</v>
      </c>
      <c r="L25" s="6"/>
      <c r="M25" s="6"/>
      <c r="N25" s="6"/>
    </row>
    <row r="26" spans="1:43" s="2" customFormat="1" x14ac:dyDescent="0.25">
      <c r="C26" s="24"/>
      <c r="D26" s="24"/>
      <c r="E26" s="24"/>
      <c r="F26" s="24"/>
      <c r="G26" s="24"/>
      <c r="H26" s="24">
        <v>-226015</v>
      </c>
      <c r="I26" s="24"/>
      <c r="J26" s="24"/>
      <c r="K26" s="24"/>
      <c r="L26" s="6"/>
      <c r="M26" s="6"/>
      <c r="N26" s="6"/>
    </row>
    <row r="27" spans="1:43" x14ac:dyDescent="0.25">
      <c r="C27" s="5"/>
      <c r="D27" s="5"/>
      <c r="E27" s="5"/>
      <c r="F27" s="5"/>
      <c r="G27" s="5"/>
      <c r="H27" s="5"/>
      <c r="I27" s="5"/>
      <c r="J27" s="5"/>
      <c r="K27" s="5"/>
    </row>
    <row r="28" spans="1:43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1:43" x14ac:dyDescent="0.25">
      <c r="C29" s="5"/>
      <c r="D29" s="5"/>
      <c r="E29" s="5"/>
      <c r="F29" s="5"/>
      <c r="G29" s="5"/>
      <c r="H29" s="5"/>
      <c r="I29" s="5"/>
      <c r="J29" s="5"/>
      <c r="K29" s="5"/>
    </row>
    <row r="30" spans="1:43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4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43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5"/>
    </row>
    <row r="37" spans="3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3:1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3:11" x14ac:dyDescent="0.25">
      <c r="C39" s="5"/>
      <c r="D39" s="5"/>
      <c r="E39" s="5"/>
      <c r="F39" s="5"/>
      <c r="G39" s="5"/>
      <c r="H39" s="5"/>
      <c r="I39" s="5"/>
      <c r="J39" s="5"/>
      <c r="K39" s="5"/>
    </row>
    <row r="40" spans="3:11" x14ac:dyDescent="0.25">
      <c r="C40" s="5"/>
      <c r="D40" s="5"/>
      <c r="E40" s="5"/>
      <c r="F40" s="5"/>
      <c r="G40" s="5"/>
      <c r="H40" s="5"/>
      <c r="I40" s="5"/>
      <c r="J40" s="5"/>
      <c r="K40" s="5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&amp;LBátaszéki Közös Önkormányzati Hivatal&amp;C2023. évi költségvetési terv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4" width="9.140625" style="131"/>
    <col min="5" max="5" width="19.7109375" style="131" bestFit="1" customWidth="1"/>
    <col min="6" max="16384" width="9.140625" style="131"/>
  </cols>
  <sheetData>
    <row r="2" spans="2:7" x14ac:dyDescent="0.2">
      <c r="B2" s="131" t="s">
        <v>144</v>
      </c>
    </row>
    <row r="3" spans="2:7" x14ac:dyDescent="0.2">
      <c r="B3" s="131" t="s">
        <v>1</v>
      </c>
      <c r="D3" s="131">
        <v>6331</v>
      </c>
      <c r="E3" s="132">
        <f>D3/D7*100</f>
        <v>75.585004775549194</v>
      </c>
      <c r="G3" s="131">
        <v>75.585004775549194</v>
      </c>
    </row>
    <row r="4" spans="2:7" x14ac:dyDescent="0.2">
      <c r="B4" s="131" t="s">
        <v>2</v>
      </c>
      <c r="D4" s="131">
        <v>724</v>
      </c>
      <c r="E4" s="132">
        <f>D4/D7*100</f>
        <v>8.6437440305635143</v>
      </c>
      <c r="G4" s="131">
        <v>8.6437440305635143</v>
      </c>
    </row>
    <row r="5" spans="2:7" x14ac:dyDescent="0.2">
      <c r="B5" s="131" t="s">
        <v>3</v>
      </c>
      <c r="D5" s="131">
        <v>710</v>
      </c>
      <c r="E5" s="132">
        <f>D5/D7*100</f>
        <v>8.4765998089780332</v>
      </c>
      <c r="G5" s="131">
        <v>8.4765998089780332</v>
      </c>
    </row>
    <row r="6" spans="2:7" x14ac:dyDescent="0.2">
      <c r="B6" s="131" t="s">
        <v>45</v>
      </c>
      <c r="D6" s="131">
        <v>611</v>
      </c>
      <c r="E6" s="132">
        <f>D6/D7*100</f>
        <v>7.2946513849092645</v>
      </c>
      <c r="G6" s="131">
        <v>7.2946513849092645</v>
      </c>
    </row>
    <row r="7" spans="2:7" x14ac:dyDescent="0.2">
      <c r="B7" s="131" t="s">
        <v>8</v>
      </c>
      <c r="D7" s="131">
        <f>SUM(D3:D6)</f>
        <v>8376</v>
      </c>
      <c r="E7" s="132">
        <f>SUM(E3:E6)</f>
        <v>100</v>
      </c>
      <c r="G7" s="131">
        <f>SUM(G3:G6)</f>
        <v>100</v>
      </c>
    </row>
    <row r="9" spans="2:7" x14ac:dyDescent="0.2">
      <c r="B9" s="131" t="s">
        <v>145</v>
      </c>
    </row>
    <row r="10" spans="2:7" x14ac:dyDescent="0.2">
      <c r="B10" s="131" t="s">
        <v>1</v>
      </c>
      <c r="D10" s="131">
        <v>6.38</v>
      </c>
      <c r="E10" s="132">
        <f>D10*E3/100</f>
        <v>4.8223233046800384</v>
      </c>
    </row>
    <row r="11" spans="2:7" x14ac:dyDescent="0.2">
      <c r="B11" s="131" t="s">
        <v>2</v>
      </c>
      <c r="D11" s="131">
        <v>6.38</v>
      </c>
      <c r="E11" s="132">
        <f t="shared" ref="E11:E13" si="0">D11*E4/100</f>
        <v>0.55147086914995225</v>
      </c>
    </row>
    <row r="12" spans="2:7" x14ac:dyDescent="0.2">
      <c r="B12" s="131" t="s">
        <v>3</v>
      </c>
      <c r="D12" s="131">
        <v>6.38</v>
      </c>
      <c r="E12" s="132">
        <f t="shared" si="0"/>
        <v>0.54080706781279853</v>
      </c>
    </row>
    <row r="13" spans="2:7" x14ac:dyDescent="0.2">
      <c r="B13" s="131" t="s">
        <v>45</v>
      </c>
      <c r="D13" s="131">
        <v>6.38</v>
      </c>
      <c r="E13" s="132">
        <f t="shared" si="0"/>
        <v>0.46539875835721106</v>
      </c>
    </row>
    <row r="14" spans="2:7" x14ac:dyDescent="0.2">
      <c r="B14" s="131" t="s">
        <v>8</v>
      </c>
      <c r="E14" s="132">
        <f>SUM(E10:E13)</f>
        <v>6.38</v>
      </c>
    </row>
    <row r="15" spans="2:7" x14ac:dyDescent="0.2">
      <c r="E15" s="132"/>
    </row>
    <row r="16" spans="2:7" x14ac:dyDescent="0.2">
      <c r="B16" s="131" t="s">
        <v>146</v>
      </c>
    </row>
    <row r="17" spans="2:5" x14ac:dyDescent="0.2">
      <c r="B17" s="131" t="s">
        <v>1</v>
      </c>
      <c r="E17" s="132">
        <f>E3-E10</f>
        <v>70.762681470869154</v>
      </c>
    </row>
    <row r="18" spans="2:5" x14ac:dyDescent="0.2">
      <c r="B18" s="131" t="s">
        <v>2</v>
      </c>
      <c r="E18" s="132">
        <f>E4-E11</f>
        <v>8.0922731614135621</v>
      </c>
    </row>
    <row r="19" spans="2:5" x14ac:dyDescent="0.2">
      <c r="B19" s="131" t="s">
        <v>3</v>
      </c>
      <c r="E19" s="132">
        <f>E5-E12</f>
        <v>7.9357927411652351</v>
      </c>
    </row>
    <row r="20" spans="2:5" x14ac:dyDescent="0.2">
      <c r="B20" s="131" t="s">
        <v>45</v>
      </c>
      <c r="E20" s="132">
        <f>E6-E13</f>
        <v>6.8292526265520532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Költségvetés képletes</vt:lpstr>
      <vt:lpstr>1.mell.Kiadások</vt:lpstr>
      <vt:lpstr>2.mell.Bevételek</vt:lpstr>
      <vt:lpstr>Arányszámok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Windows-felhasználó</cp:lastModifiedBy>
  <cp:lastPrinted>2023-04-03T05:57:52Z</cp:lastPrinted>
  <dcterms:created xsi:type="dcterms:W3CDTF">2014-11-10T08:15:58Z</dcterms:created>
  <dcterms:modified xsi:type="dcterms:W3CDTF">2023-04-17T10:33:48Z</dcterms:modified>
</cp:coreProperties>
</file>