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stulet\előterjesztések\2024\2024.01.31. együttes\KÉ3.sz.et. KÖH 2024. évi költségvetésének elfogadása\"/>
    </mc:Choice>
  </mc:AlternateContent>
  <xr:revisionPtr revIDLastSave="0" documentId="13_ncr:1_{385F0BC4-491F-4C4E-B84E-C1D6ED4904D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Költségvetés" sheetId="16" r:id="rId1"/>
    <sheet name="1.mell.Kiadások" sheetId="8" r:id="rId2"/>
    <sheet name="2.mell.Bevételek" sheetId="5" r:id="rId3"/>
    <sheet name="Arányszámok" sheetId="14" r:id="rId4"/>
  </sheets>
  <externalReferences>
    <externalReference r:id="rId5"/>
  </externalReferences>
  <definedNames>
    <definedName name="_xlnm.Print_Area" localSheetId="1">'1.mell.Kiadások'!$A$1:$U$21</definedName>
    <definedName name="_xlnm.Print_Area" localSheetId="2">'2.mell.Bevételek'!$A$1:$P$22</definedName>
  </definedNames>
  <calcPr calcId="181029"/>
</workbook>
</file>

<file path=xl/calcChain.xml><?xml version="1.0" encoding="utf-8"?>
<calcChain xmlns="http://schemas.openxmlformats.org/spreadsheetml/2006/main">
  <c r="N17" i="5" l="1"/>
  <c r="N15" i="5"/>
  <c r="V19" i="8"/>
  <c r="P14" i="5"/>
  <c r="C37" i="16"/>
  <c r="C42" i="16"/>
  <c r="O2" i="5"/>
  <c r="H2" i="5"/>
  <c r="I2" i="5"/>
  <c r="J2" i="5"/>
  <c r="K2" i="5"/>
  <c r="U5" i="8"/>
  <c r="U2" i="8"/>
  <c r="U19" i="8"/>
  <c r="K4" i="5"/>
  <c r="J4" i="5"/>
  <c r="H4" i="5"/>
  <c r="I4" i="5"/>
  <c r="E14" i="8" l="1"/>
  <c r="O14" i="8"/>
  <c r="O4" i="8"/>
  <c r="C41" i="16"/>
  <c r="U16" i="8"/>
  <c r="N16" i="5"/>
  <c r="N14" i="5"/>
  <c r="P12" i="5" l="1"/>
  <c r="P11" i="5"/>
  <c r="O10" i="8" l="1"/>
  <c r="O9" i="8"/>
  <c r="U9" i="8" s="1"/>
  <c r="D3" i="5"/>
  <c r="D4" i="5" l="1"/>
  <c r="H4" i="8"/>
  <c r="H5" i="8"/>
  <c r="H6" i="8"/>
  <c r="H7" i="8"/>
  <c r="H10" i="8"/>
  <c r="H2" i="8"/>
  <c r="O8" i="8"/>
  <c r="E3" i="5"/>
  <c r="H16" i="8"/>
  <c r="O13" i="8"/>
  <c r="P8" i="8"/>
  <c r="O2" i="8"/>
  <c r="U17" i="8"/>
  <c r="N11" i="5"/>
  <c r="H9" i="8" l="1"/>
  <c r="G19" i="8" l="1"/>
  <c r="E19" i="8"/>
  <c r="B11" i="8"/>
  <c r="H11" i="8" s="1"/>
  <c r="H15" i="8"/>
  <c r="H14" i="8"/>
  <c r="H13" i="8"/>
  <c r="H18" i="8"/>
  <c r="H17" i="8"/>
  <c r="D12" i="8"/>
  <c r="D19" i="8" s="1"/>
  <c r="C8" i="8"/>
  <c r="H8" i="8" s="1"/>
  <c r="C3" i="8"/>
  <c r="C11" i="8" l="1"/>
  <c r="H3" i="8"/>
  <c r="B19" i="8"/>
  <c r="C12" i="8"/>
  <c r="O12" i="8" s="1"/>
  <c r="D11" i="8"/>
  <c r="H12" i="8" l="1"/>
  <c r="H20" i="8" s="1"/>
  <c r="C19" i="8"/>
  <c r="N12" i="5" l="1"/>
  <c r="L15" i="5"/>
  <c r="M15" i="5"/>
  <c r="P13" i="8"/>
  <c r="U13" i="8" s="1"/>
  <c r="Q13" i="8"/>
  <c r="R13" i="8"/>
  <c r="S13" i="8"/>
  <c r="T13" i="8"/>
  <c r="P5" i="8"/>
  <c r="Q5" i="8"/>
  <c r="R5" i="8"/>
  <c r="S5" i="8"/>
  <c r="T5" i="8"/>
  <c r="P6" i="8"/>
  <c r="Q6" i="8"/>
  <c r="R6" i="8"/>
  <c r="S6" i="8"/>
  <c r="T6" i="8"/>
  <c r="P7" i="8"/>
  <c r="Q7" i="8"/>
  <c r="R7" i="8"/>
  <c r="S7" i="8"/>
  <c r="T7" i="8"/>
  <c r="Q8" i="8"/>
  <c r="U8" i="8" s="1"/>
  <c r="R8" i="8"/>
  <c r="S8" i="8"/>
  <c r="T8" i="8"/>
  <c r="P10" i="8"/>
  <c r="Q10" i="8"/>
  <c r="R10" i="8"/>
  <c r="S10" i="8"/>
  <c r="T10" i="8"/>
  <c r="P3" i="8"/>
  <c r="Q3" i="8"/>
  <c r="R3" i="8"/>
  <c r="S3" i="8"/>
  <c r="T3" i="8"/>
  <c r="P4" i="8"/>
  <c r="Q4" i="8"/>
  <c r="R4" i="8"/>
  <c r="S4" i="8"/>
  <c r="T4" i="8"/>
  <c r="O7" i="8"/>
  <c r="O6" i="8"/>
  <c r="O5" i="8"/>
  <c r="O3" i="8"/>
  <c r="P2" i="8"/>
  <c r="Q2" i="8"/>
  <c r="Q11" i="8" s="1"/>
  <c r="R2" i="8"/>
  <c r="S2" i="8"/>
  <c r="T2" i="8"/>
  <c r="H7" i="14"/>
  <c r="U15" i="8"/>
  <c r="V15" i="8" s="1"/>
  <c r="Q12" i="8"/>
  <c r="P11" i="8" l="1"/>
  <c r="O11" i="8"/>
  <c r="T11" i="8"/>
  <c r="S11" i="8"/>
  <c r="R11" i="8"/>
  <c r="U3" i="8"/>
  <c r="O19" i="8"/>
  <c r="T12" i="8"/>
  <c r="P12" i="8"/>
  <c r="R12" i="8"/>
  <c r="S12" i="8"/>
  <c r="H17" i="5" l="1"/>
  <c r="U18" i="8"/>
  <c r="V18" i="8" s="1"/>
  <c r="N6" i="5"/>
  <c r="D7" i="14" l="1"/>
  <c r="E5" i="14" s="1"/>
  <c r="E12" i="14" l="1"/>
  <c r="G5" i="14"/>
  <c r="E19" i="14"/>
  <c r="H15" i="5"/>
  <c r="E6" i="14"/>
  <c r="G6" i="14" s="1"/>
  <c r="E3" i="14"/>
  <c r="G3" i="14" s="1"/>
  <c r="E4" i="14"/>
  <c r="G4" i="14" s="1"/>
  <c r="H19" i="5" l="1"/>
  <c r="H20" i="5" s="1"/>
  <c r="G7" i="14"/>
  <c r="E13" i="14"/>
  <c r="E20" i="14" s="1"/>
  <c r="E11" i="14"/>
  <c r="E18" i="14" s="1"/>
  <c r="E10" i="14"/>
  <c r="E17" i="14" s="1"/>
  <c r="E7" i="14"/>
  <c r="E14" i="14" l="1"/>
  <c r="N13" i="5"/>
  <c r="P13" i="5" s="1"/>
  <c r="V3" i="8" l="1"/>
  <c r="U4" i="8"/>
  <c r="V4" i="8" l="1"/>
  <c r="C47" i="16"/>
  <c r="C53" i="16" l="1"/>
  <c r="C59" i="16" s="1"/>
  <c r="C31" i="16"/>
  <c r="C26" i="16"/>
  <c r="C20" i="16"/>
  <c r="C8" i="16"/>
  <c r="B2" i="16"/>
  <c r="F19" i="8" l="1"/>
  <c r="H19" i="8" s="1"/>
  <c r="G3" i="5" l="1"/>
  <c r="F3" i="5"/>
  <c r="N2" i="5" l="1"/>
  <c r="F4" i="5"/>
  <c r="G4" i="5"/>
  <c r="E4" i="5"/>
  <c r="N4" i="5" l="1"/>
  <c r="P19" i="8"/>
  <c r="C38" i="16"/>
  <c r="C60" i="16" s="1"/>
  <c r="K15" i="5"/>
  <c r="K19" i="5" s="1"/>
  <c r="J15" i="5"/>
  <c r="N10" i="5"/>
  <c r="N9" i="5"/>
  <c r="N8" i="5"/>
  <c r="N7" i="5"/>
  <c r="N5" i="5"/>
  <c r="I15" i="5" l="1"/>
  <c r="V13" i="8"/>
  <c r="U10" i="8"/>
  <c r="V10" i="8" s="1"/>
  <c r="V8" i="8"/>
  <c r="U6" i="8"/>
  <c r="V6" i="8" s="1"/>
  <c r="U7" i="8"/>
  <c r="V7" i="8" s="1"/>
  <c r="U12" i="8"/>
  <c r="V5" i="8" l="1"/>
  <c r="U11" i="8"/>
  <c r="V16" i="8"/>
  <c r="H22" i="5"/>
  <c r="J22" i="5"/>
  <c r="I22" i="5"/>
  <c r="V12" i="8"/>
  <c r="V2" i="8"/>
  <c r="T19" i="8"/>
  <c r="M17" i="5" s="1"/>
  <c r="U14" i="8"/>
  <c r="Q19" i="8"/>
  <c r="R19" i="8"/>
  <c r="K17" i="5" s="1"/>
  <c r="S19" i="8"/>
  <c r="L17" i="5" s="1"/>
  <c r="V14" i="8" l="1"/>
  <c r="U20" i="8"/>
  <c r="Y20" i="8"/>
  <c r="J17" i="5"/>
  <c r="I17" i="5"/>
  <c r="K22" i="5"/>
  <c r="M22" i="5"/>
  <c r="I19" i="5" l="1"/>
  <c r="J19" i="5"/>
  <c r="Q21" i="8"/>
  <c r="R21" i="8"/>
  <c r="P21" i="8"/>
  <c r="N19" i="5"/>
  <c r="O21" i="8"/>
  <c r="T21" i="8"/>
  <c r="S21" i="8"/>
  <c r="U21" i="8" l="1"/>
  <c r="L22" i="5"/>
  <c r="N22" i="5" s="1"/>
</calcChain>
</file>

<file path=xl/sharedStrings.xml><?xml version="1.0" encoding="utf-8"?>
<sst xmlns="http://schemas.openxmlformats.org/spreadsheetml/2006/main" count="196" uniqueCount="156">
  <si>
    <t>Összesen</t>
  </si>
  <si>
    <t>Bátaszék</t>
  </si>
  <si>
    <t>Alsónyék</t>
  </si>
  <si>
    <t>Alsónána</t>
  </si>
  <si>
    <t>Bátaszék arányszám</t>
  </si>
  <si>
    <t>Alsónyék arányszám</t>
  </si>
  <si>
    <t>Alsónána arányszám</t>
  </si>
  <si>
    <t>Létszám</t>
  </si>
  <si>
    <t>Összesen:</t>
  </si>
  <si>
    <t>Bevételekmegnevezése</t>
  </si>
  <si>
    <t>Állami támogatás</t>
  </si>
  <si>
    <t>Szolgáltatások ellenértéke</t>
  </si>
  <si>
    <t>Közvetített szolgáltatások értéke</t>
  </si>
  <si>
    <t>Kiszámlázott általános forgalmi adó</t>
  </si>
  <si>
    <t>Bevétel mindösszesen:</t>
  </si>
  <si>
    <t>Kiadások megnevezése</t>
  </si>
  <si>
    <t>MOB arányszám</t>
  </si>
  <si>
    <t>ESZGY arányszám</t>
  </si>
  <si>
    <t>MOB</t>
  </si>
  <si>
    <t>ESZGY</t>
  </si>
  <si>
    <t>Készletértékesítés ellenértéke</t>
  </si>
  <si>
    <t>Közhatalmi bevételek</t>
  </si>
  <si>
    <t>Felújítások</t>
  </si>
  <si>
    <t>Járulékok</t>
  </si>
  <si>
    <t>Megbízási díjak</t>
  </si>
  <si>
    <t>Előző évi maradvány</t>
  </si>
  <si>
    <t>Beruházás, eszközbeszerzés</t>
  </si>
  <si>
    <t>ÁFA visszatérülés</t>
  </si>
  <si>
    <t>KÖH munkaszervezetre átvett önkormányzatoktól</t>
  </si>
  <si>
    <t>Egyéb költségtérítés</t>
  </si>
  <si>
    <t>KÖH munkaszervezetre átvett hozzájárulás társulásoktól</t>
  </si>
  <si>
    <t>Bátaszék által folyósított imtézményfinanszírozás</t>
  </si>
  <si>
    <t>Kiadások mindösszesen:</t>
  </si>
  <si>
    <t>Béren kívüli juttatások</t>
  </si>
  <si>
    <t>Munkaadókat terhelő járulékok</t>
  </si>
  <si>
    <t>Személyi juttatások összesen:</t>
  </si>
  <si>
    <t>Személyi jellegű juttatás</t>
  </si>
  <si>
    <t>Dologi kiadás</t>
  </si>
  <si>
    <t>Felhalmozási kiadások</t>
  </si>
  <si>
    <t>Bátaszék Város Hivatala fentartási és egyéb dologi kiadásai</t>
  </si>
  <si>
    <t xml:space="preserve">Felosztható dologi kiadások </t>
  </si>
  <si>
    <t>Céltartalék maradványból</t>
  </si>
  <si>
    <t>KÖH alkalamazottainak illetménye, egyéb személyi jellegű kiadásai</t>
  </si>
  <si>
    <t>Egyéb bér</t>
  </si>
  <si>
    <t>Sárpilis arányszáma</t>
  </si>
  <si>
    <t>Sárpilis</t>
  </si>
  <si>
    <t>Sárpilis arányszám</t>
  </si>
  <si>
    <t xml:space="preserve">MOB </t>
  </si>
  <si>
    <t xml:space="preserve">ESZGY </t>
  </si>
  <si>
    <t>Munkábajárás</t>
  </si>
  <si>
    <t>Jubileumi jutalom</t>
  </si>
  <si>
    <t>Tartalékok</t>
  </si>
  <si>
    <t>Költségvetési szerv megnevezése</t>
  </si>
  <si>
    <t>Feladat megnevezése</t>
  </si>
  <si>
    <t>Összes bevétel, kiadás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</si>
  <si>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</si>
  <si>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</si>
  <si>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</si>
  <si>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</si>
  <si>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</si>
  <si>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</si>
  <si>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</si>
  <si>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Működési bevételek (1.1.+…+1.11.)</t>
  </si>
  <si>
    <t>Tulajdonosi bevételek</t>
  </si>
  <si>
    <t>Ellátási díjak</t>
  </si>
  <si>
    <t>Általános forgalmi adó visszatérülése</t>
  </si>
  <si>
    <t>Kamatbevételek</t>
  </si>
  <si>
    <t>Egyéb pénzügyi műveletek bevételei</t>
  </si>
  <si>
    <t>Biztosító által fizetett kártérítés</t>
  </si>
  <si>
    <t>Egyéb működési bevételek</t>
  </si>
  <si>
    <t>2.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</si>
  <si>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</si>
  <si>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</si>
  <si>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</si>
  <si>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</si>
  <si>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</si>
  <si>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3.</t>
  </si>
  <si>
    <t>4.</t>
  </si>
  <si>
    <t>Felhalmozási célú támogatások államháztartáson belülről (4.1.+…+4.3.)</t>
  </si>
  <si>
    <t>Felhalmozási célú önkormányzati támogatások</t>
  </si>
  <si>
    <t>Egyéb felhalmozási célú támogatások bevételei államháztartáson belülről</t>
  </si>
  <si>
    <t xml:space="preserve">  4.3.-ból EU-s támogatás</t>
  </si>
  <si>
    <t>5.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</si>
  <si>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</si>
  <si>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</si>
  <si>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</si>
  <si>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</si>
  <si>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</si>
  <si>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</si>
  <si>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</si>
  <si>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</si>
  <si>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</si>
  <si>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</si>
  <si>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</si>
  <si>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</si>
  <si>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Költségvetési maradvány igénybevétele</t>
  </si>
  <si>
    <t>Vállalkozási maradvány igénybevétele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</si>
  <si>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</si>
  <si>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</si>
  <si>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</si>
  <si>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</si>
  <si>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</si>
  <si>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</si>
  <si>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</si>
  <si>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</si>
  <si>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</si>
  <si>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</si>
  <si>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</si>
  <si>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</si>
  <si>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</si>
  <si>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</si>
  <si>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</si>
  <si>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</si>
  <si>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</si>
  <si>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</si>
  <si>
    <t>02</t>
  </si>
  <si>
    <t>01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</si>
  <si>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</si>
  <si>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</si>
  <si>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</si>
  <si>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</si>
  <si>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</si>
  <si>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</si>
  <si>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</si>
  <si>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</si>
  <si>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</si>
  <si>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</si>
  <si>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</si>
  <si>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</si>
  <si>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</si>
  <si>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2.3.</t>
  </si>
  <si>
    <t>2.4.</t>
  </si>
  <si>
    <t>4.1.</t>
  </si>
  <si>
    <t>4.2.</t>
  </si>
  <si>
    <t>4.3.</t>
  </si>
  <si>
    <t>4.4.</t>
  </si>
  <si>
    <t>5.1.</t>
  </si>
  <si>
    <t>5.2.</t>
  </si>
  <si>
    <t>5.3.</t>
  </si>
  <si>
    <t>9.1.</t>
  </si>
  <si>
    <t>9.2.</t>
  </si>
  <si>
    <t>9.3.</t>
  </si>
  <si>
    <t>Pályázatból visszatérülő támogatás</t>
  </si>
  <si>
    <t>Végkielégítés</t>
  </si>
  <si>
    <t>Társulások</t>
  </si>
  <si>
    <t>Társulások nélküli százalék</t>
  </si>
  <si>
    <t>TOP iskolaenergetika</t>
  </si>
  <si>
    <t>TOP Szociális I-II. ütem</t>
  </si>
  <si>
    <t>Lakosságszám 2023. január 01.</t>
  </si>
  <si>
    <t>Járulék TOP</t>
  </si>
  <si>
    <t>2024. évi kiegészítő hozzájárulás</t>
  </si>
  <si>
    <t>TOP Megbízási díj</t>
  </si>
  <si>
    <t xml:space="preserve">Feladattal terhelt maradvány TOP </t>
  </si>
  <si>
    <t>TOP szoc. I-II. ütem</t>
  </si>
  <si>
    <t>Bevétel arányszámok</t>
  </si>
  <si>
    <t>Kiadás arányszámok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</si>
</sst>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%"/>
    <numFmt numFmtId="165" formatCode="0.00000%"/>
    <numFmt numFmtId="166" formatCode="#,###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name val="Times New Roman CE"/>
      <family val="1"/>
      <charset val="238"/>
    </font>
    <font>
      <b/>
      <sz val="9"/>
      <color rgb="FF000000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 applyAlignment="1">
      <alignment wrapText="1"/>
    </xf>
    <xf numFmtId="0" fontId="7" fillId="2" borderId="1" xfId="0" applyFont="1" applyFill="1" applyBorder="1"/>
    <xf numFmtId="0" fontId="5" fillId="5" borderId="1" xfId="0" applyFont="1" applyFill="1" applyBorder="1"/>
    <xf numFmtId="0" fontId="7" fillId="6" borderId="1" xfId="0" applyFont="1" applyFill="1" applyBorder="1"/>
    <xf numFmtId="3" fontId="7" fillId="6" borderId="1" xfId="0" applyNumberFormat="1" applyFont="1" applyFill="1" applyBorder="1"/>
    <xf numFmtId="0" fontId="0" fillId="6" borderId="1" xfId="0" applyFill="1" applyBorder="1" applyAlignment="1">
      <alignment wrapText="1"/>
    </xf>
    <xf numFmtId="0" fontId="9" fillId="0" borderId="1" xfId="1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7" fillId="4" borderId="1" xfId="0" applyFont="1" applyFill="1" applyBorder="1"/>
    <xf numFmtId="0" fontId="10" fillId="4" borderId="1" xfId="0" applyFont="1" applyFill="1" applyBorder="1"/>
    <xf numFmtId="0" fontId="0" fillId="2" borderId="1" xfId="0" applyFill="1" applyBorder="1" applyAlignment="1">
      <alignment wrapText="1"/>
    </xf>
    <xf numFmtId="3" fontId="5" fillId="5" borderId="1" xfId="0" applyNumberFormat="1" applyFont="1" applyFill="1" applyBorder="1"/>
    <xf numFmtId="3" fontId="4" fillId="2" borderId="1" xfId="0" applyNumberFormat="1" applyFont="1" applyFill="1" applyBorder="1"/>
    <xf numFmtId="3" fontId="5" fillId="2" borderId="1" xfId="0" applyNumberFormat="1" applyFont="1" applyFill="1" applyBorder="1"/>
    <xf numFmtId="3" fontId="7" fillId="0" borderId="1" xfId="0" applyNumberFormat="1" applyFont="1" applyBorder="1"/>
    <xf numFmtId="3" fontId="6" fillId="2" borderId="1" xfId="0" applyNumberFormat="1" applyFont="1" applyFill="1" applyBorder="1"/>
    <xf numFmtId="3" fontId="7" fillId="5" borderId="1" xfId="0" applyNumberFormat="1" applyFont="1" applyFill="1" applyBorder="1"/>
    <xf numFmtId="0" fontId="7" fillId="6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/>
    <xf numFmtId="0" fontId="6" fillId="6" borderId="1" xfId="0" applyFont="1" applyFill="1" applyBorder="1"/>
    <xf numFmtId="0" fontId="10" fillId="2" borderId="1" xfId="0" applyFont="1" applyFill="1" applyBorder="1"/>
    <xf numFmtId="3" fontId="7" fillId="2" borderId="1" xfId="0" applyNumberFormat="1" applyFont="1" applyFill="1" applyBorder="1"/>
    <xf numFmtId="0" fontId="1" fillId="0" borderId="1" xfId="0" applyFont="1" applyBorder="1"/>
    <xf numFmtId="4" fontId="7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3" fontId="7" fillId="4" borderId="1" xfId="0" applyNumberFormat="1" applyFont="1" applyFill="1" applyBorder="1"/>
    <xf numFmtId="0" fontId="7" fillId="3" borderId="1" xfId="0" applyFont="1" applyFill="1" applyBorder="1"/>
    <xf numFmtId="10" fontId="7" fillId="2" borderId="1" xfId="0" applyNumberFormat="1" applyFont="1" applyFill="1" applyBorder="1"/>
    <xf numFmtId="0" fontId="8" fillId="6" borderId="1" xfId="0" applyFont="1" applyFill="1" applyBorder="1" applyAlignment="1">
      <alignment horizontal="left"/>
    </xf>
    <xf numFmtId="3" fontId="6" fillId="6" borderId="1" xfId="0" applyNumberFormat="1" applyFont="1" applyFill="1" applyBorder="1"/>
    <xf numFmtId="4" fontId="6" fillId="6" borderId="1" xfId="0" applyNumberFormat="1" applyFont="1" applyFill="1" applyBorder="1"/>
    <xf numFmtId="1" fontId="4" fillId="0" borderId="1" xfId="0" applyNumberFormat="1" applyFont="1" applyBorder="1"/>
    <xf numFmtId="3" fontId="7" fillId="5" borderId="1" xfId="2" applyNumberFormat="1" applyFont="1" applyFill="1" applyBorder="1"/>
    <xf numFmtId="10" fontId="6" fillId="0" borderId="1" xfId="0" applyNumberFormat="1" applyFont="1" applyBorder="1"/>
    <xf numFmtId="164" fontId="1" fillId="2" borderId="1" xfId="0" applyNumberFormat="1" applyFont="1" applyFill="1" applyBorder="1"/>
    <xf numFmtId="10" fontId="7" fillId="0" borderId="1" xfId="0" applyNumberFormat="1" applyFont="1" applyBorder="1"/>
    <xf numFmtId="10" fontId="4" fillId="2" borderId="1" xfId="0" applyNumberFormat="1" applyFont="1" applyFill="1" applyBorder="1"/>
    <xf numFmtId="10" fontId="4" fillId="0" borderId="1" xfId="0" applyNumberFormat="1" applyFont="1" applyBorder="1"/>
    <xf numFmtId="0" fontId="6" fillId="4" borderId="1" xfId="0" applyFont="1" applyFill="1" applyBorder="1" applyAlignment="1">
      <alignment wrapText="1"/>
    </xf>
    <xf numFmtId="3" fontId="6" fillId="4" borderId="1" xfId="0" applyNumberFormat="1" applyFont="1" applyFill="1" applyBorder="1"/>
    <xf numFmtId="10" fontId="1" fillId="2" borderId="1" xfId="0" applyNumberFormat="1" applyFont="1" applyFill="1" applyBorder="1"/>
    <xf numFmtId="165" fontId="7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right" vertical="center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 indent="1"/>
    </xf>
    <xf numFmtId="166" fontId="19" fillId="0" borderId="13" xfId="0" applyNumberFormat="1" applyFont="1" applyBorder="1" applyAlignment="1">
      <alignment horizontal="right" vertical="center" wrapText="1" indent="1"/>
    </xf>
    <xf numFmtId="49" fontId="20" fillId="0" borderId="17" xfId="0" applyNumberFormat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left" vertical="center" wrapText="1" indent="1"/>
    </xf>
    <xf numFmtId="166" fontId="21" fillId="0" borderId="4" xfId="0" applyNumberFormat="1" applyFont="1" applyBorder="1" applyAlignment="1" applyProtection="1">
      <alignment horizontal="right" vertical="center" wrapText="1" indent="1"/>
      <protection locked="0"/>
    </xf>
    <xf numFmtId="49" fontId="20" fillId="0" borderId="18" xfId="0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 indent="1"/>
    </xf>
    <xf numFmtId="166" fontId="21" fillId="0" borderId="19" xfId="0" applyNumberFormat="1" applyFont="1" applyBorder="1" applyAlignment="1" applyProtection="1">
      <alignment horizontal="right" vertical="center" wrapText="1" indent="1"/>
      <protection locked="0"/>
    </xf>
    <xf numFmtId="0" fontId="21" fillId="0" borderId="20" xfId="1" applyFont="1" applyBorder="1" applyAlignment="1">
      <alignment horizontal="left" vertical="center" wrapText="1" indent="1"/>
    </xf>
    <xf numFmtId="166" fontId="21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22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1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center" wrapText="1" indent="1"/>
    </xf>
    <xf numFmtId="166" fontId="19" fillId="0" borderId="13" xfId="0" applyNumberFormat="1" applyFont="1" applyBorder="1" applyAlignment="1" applyProtection="1">
      <alignment horizontal="right" vertical="center" wrapText="1" indent="1"/>
      <protection locked="0"/>
    </xf>
    <xf numFmtId="49" fontId="20" fillId="0" borderId="24" xfId="0" applyNumberFormat="1" applyFont="1" applyBorder="1" applyAlignment="1">
      <alignment horizontal="center" vertical="center" wrapText="1"/>
    </xf>
    <xf numFmtId="0" fontId="20" fillId="0" borderId="23" xfId="1" applyFont="1" applyBorder="1" applyAlignment="1">
      <alignment horizontal="left" vertical="center" wrapText="1" indent="1"/>
    </xf>
    <xf numFmtId="166" fontId="20" fillId="0" borderId="25" xfId="0" applyNumberFormat="1" applyFont="1" applyBorder="1" applyAlignment="1" applyProtection="1">
      <alignment horizontal="right" vertical="center" wrapText="1" indent="1"/>
      <protection locked="0"/>
    </xf>
    <xf numFmtId="0" fontId="20" fillId="0" borderId="1" xfId="1" applyFont="1" applyBorder="1" applyAlignment="1">
      <alignment horizontal="left" vertical="center" wrapText="1" indent="1"/>
    </xf>
    <xf numFmtId="0" fontId="20" fillId="0" borderId="26" xfId="1" applyFont="1" applyBorder="1" applyAlignment="1">
      <alignment horizontal="left" vertical="center" wrapText="1" indent="1"/>
    </xf>
    <xf numFmtId="166" fontId="20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8" xfId="0" applyNumberFormat="1" applyFont="1" applyBorder="1" applyAlignment="1">
      <alignment horizontal="right" vertical="center" wrapText="1" indent="1"/>
    </xf>
    <xf numFmtId="166" fontId="18" fillId="0" borderId="28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166" fontId="18" fillId="0" borderId="0" xfId="0" applyNumberFormat="1" applyFont="1" applyAlignment="1">
      <alignment horizontal="right" vertical="center" wrapText="1" indent="1"/>
    </xf>
    <xf numFmtId="0" fontId="18" fillId="0" borderId="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66" fontId="2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>
      <alignment horizontal="left" vertical="center" wrapText="1" indent="1"/>
    </xf>
    <xf numFmtId="166" fontId="18" fillId="0" borderId="13" xfId="0" applyNumberFormat="1" applyFont="1" applyBorder="1" applyAlignment="1">
      <alignment horizontal="right" vertical="center" wrapText="1" indent="1"/>
    </xf>
    <xf numFmtId="0" fontId="24" fillId="0" borderId="11" xfId="0" applyFont="1" applyBorder="1" applyAlignment="1">
      <alignment horizontal="left" vertical="center"/>
    </xf>
    <xf numFmtId="0" fontId="24" fillId="0" borderId="29" xfId="0" applyFont="1" applyBorder="1" applyAlignment="1">
      <alignment vertical="center" wrapText="1"/>
    </xf>
    <xf numFmtId="3" fontId="2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0" xfId="0" applyNumberFormat="1" applyFont="1" applyAlignment="1" applyProtection="1">
      <alignment horizontal="left" vertical="center" wrapText="1"/>
      <protection locked="0"/>
    </xf>
    <xf numFmtId="166" fontId="13" fillId="0" borderId="0" xfId="0" applyNumberFormat="1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2" fillId="0" borderId="1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wrapText="1" inden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 inden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166" fontId="23" fillId="0" borderId="0" xfId="0" applyNumberFormat="1" applyFont="1" applyAlignment="1">
      <alignment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/>
    <xf numFmtId="0" fontId="7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3" fontId="7" fillId="8" borderId="1" xfId="0" applyNumberFormat="1" applyFont="1" applyFill="1" applyBorder="1"/>
    <xf numFmtId="3" fontId="4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/>
    <xf numFmtId="166" fontId="20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0" xfId="0" applyNumberFormat="1" applyFont="1"/>
    <xf numFmtId="3" fontId="6" fillId="8" borderId="1" xfId="0" applyNumberFormat="1" applyFont="1" applyFill="1" applyBorder="1"/>
    <xf numFmtId="0" fontId="27" fillId="0" borderId="0" xfId="0" applyFont="1" applyAlignment="1">
      <alignment wrapText="1"/>
    </xf>
    <xf numFmtId="166" fontId="20" fillId="4" borderId="27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1" xr:uid="{00000000-0005-0000-0000-000001000000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&#246;lts&#233;gvet&#233;s/ktgv_2021/B&#225;tasz&#233;k%20V&#225;ros%20&#214;nkorm&#225;nyzata/KVIREND_2021_B&#225;tasz&#233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2.sz.mell"/>
      <sheetName val="KV_9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  <sheetName val="KV_8.sz.tájékoztató_t"/>
      <sheetName val="KV_9.sz.tájékoztató t"/>
      <sheetName val="KV_10.sz.tájékoztató_t"/>
    </sheetNames>
    <sheetDataSet>
      <sheetData sheetId="0"/>
      <sheetData sheetId="1">
        <row r="7">
          <cell r="A7" t="str">
            <v>a</v>
          </cell>
        </row>
        <row r="11">
          <cell r="A11" t="str">
            <v>Bátaszéki Közös Önkormányzati Hivatal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topLeftCell="A19" zoomScaleNormal="100" workbookViewId="0">
      <selection activeCell="C48" sqref="C48:C49"/>
    </sheetView>
  </sheetViews>
  <sheetFormatPr defaultRowHeight="15" x14ac:dyDescent="0.25"/>
  <cols>
    <col min="1" max="1" width="15.42578125" customWidth="1"/>
    <col min="2" max="2" width="47.7109375" customWidth="1"/>
    <col min="3" max="3" width="20" customWidth="1"/>
  </cols>
  <sheetData>
    <row r="1" spans="1:3" ht="16.5" thickBot="1" x14ac:dyDescent="0.3">
      <c r="A1" s="110"/>
      <c r="B1" s="111"/>
      <c r="C1" s="112"/>
    </row>
    <row r="2" spans="1:3" ht="24" x14ac:dyDescent="0.25">
      <c r="A2" s="59" t="s">
        <v>52</v>
      </c>
      <c r="B2" s="60" t="str">
        <f>CONCATENATE([1]ALAPADATOK!A11)</f>
        <v>Bátaszéki Közös Önkormányzati Hivatal</v>
      </c>
      <c r="C2" s="61" t="s">
        <v>115</v>
      </c>
    </row>
    <row r="3" spans="1:3" ht="24.75" thickBot="1" x14ac:dyDescent="0.3">
      <c r="A3" s="62" t="s">
        <v>53</v>
      </c>
      <c r="B3" s="63" t="s">
        <v>54</v>
      </c>
      <c r="C3" s="64" t="s">
        <v>116</v>
      </c>
    </row>
    <row r="4" spans="1:3" ht="15.75" thickBot="1" x14ac:dyDescent="0.3">
      <c r="A4" s="113"/>
      <c r="B4" s="113"/>
      <c r="C4" s="114"/>
    </row>
    <row r="5" spans="1:3" ht="15.75" thickBot="1" x14ac:dyDescent="0.3">
      <c r="A5" s="65" t="s">
        <v>55</v>
      </c>
      <c r="B5" s="66" t="s">
        <v>56</v>
      </c>
      <c r="C5" s="67" t="s">
        <v>57</v>
      </c>
    </row>
    <row r="6" spans="1:3" ht="15.75" thickBot="1" x14ac:dyDescent="0.3">
      <c r="A6" s="68"/>
      <c r="B6" s="69" t="s">
        <v>58</v>
      </c>
      <c r="C6" s="70" t="s">
        <v>59</v>
      </c>
    </row>
    <row r="7" spans="1:3" ht="15.75" thickBot="1" x14ac:dyDescent="0.3">
      <c r="A7" s="71"/>
      <c r="B7" s="72" t="s">
        <v>60</v>
      </c>
      <c r="C7" s="123"/>
    </row>
    <row r="8" spans="1:3" ht="15.75" thickBot="1" x14ac:dyDescent="0.3">
      <c r="A8" s="73" t="s">
        <v>61</v>
      </c>
      <c r="B8" s="74" t="s">
        <v>62</v>
      </c>
      <c r="C8" s="75">
        <f>SUM(C9:C19)</f>
        <v>2369682</v>
      </c>
    </row>
    <row r="9" spans="1:3" x14ac:dyDescent="0.25">
      <c r="A9" s="76" t="s">
        <v>117</v>
      </c>
      <c r="B9" s="77" t="s">
        <v>20</v>
      </c>
      <c r="C9" s="78"/>
    </row>
    <row r="10" spans="1:3" x14ac:dyDescent="0.25">
      <c r="A10" s="79" t="s">
        <v>118</v>
      </c>
      <c r="B10" s="80" t="s">
        <v>11</v>
      </c>
      <c r="C10" s="81">
        <v>150000</v>
      </c>
    </row>
    <row r="11" spans="1:3" x14ac:dyDescent="0.25">
      <c r="A11" s="79" t="s">
        <v>119</v>
      </c>
      <c r="B11" s="80" t="s">
        <v>12</v>
      </c>
      <c r="C11" s="81">
        <v>1410000</v>
      </c>
    </row>
    <row r="12" spans="1:3" x14ac:dyDescent="0.25">
      <c r="A12" s="79" t="s">
        <v>120</v>
      </c>
      <c r="B12" s="80" t="s">
        <v>63</v>
      </c>
      <c r="C12" s="81"/>
    </row>
    <row r="13" spans="1:3" x14ac:dyDescent="0.25">
      <c r="A13" s="79" t="s">
        <v>121</v>
      </c>
      <c r="B13" s="80" t="s">
        <v>64</v>
      </c>
      <c r="C13" s="81"/>
    </row>
    <row r="14" spans="1:3" x14ac:dyDescent="0.25">
      <c r="A14" s="79" t="s">
        <v>122</v>
      </c>
      <c r="B14" s="80" t="s">
        <v>13</v>
      </c>
      <c r="C14" s="81">
        <v>421200</v>
      </c>
    </row>
    <row r="15" spans="1:3" x14ac:dyDescent="0.25">
      <c r="A15" s="79" t="s">
        <v>123</v>
      </c>
      <c r="B15" s="82" t="s">
        <v>65</v>
      </c>
      <c r="C15" s="81">
        <v>388482</v>
      </c>
    </row>
    <row r="16" spans="1:3" x14ac:dyDescent="0.25">
      <c r="A16" s="79" t="s">
        <v>124</v>
      </c>
      <c r="B16" s="80" t="s">
        <v>66</v>
      </c>
      <c r="C16" s="83"/>
    </row>
    <row r="17" spans="1:3" x14ac:dyDescent="0.25">
      <c r="A17" s="79" t="s">
        <v>125</v>
      </c>
      <c r="B17" s="80" t="s">
        <v>67</v>
      </c>
      <c r="C17" s="81"/>
    </row>
    <row r="18" spans="1:3" x14ac:dyDescent="0.25">
      <c r="A18" s="79" t="s">
        <v>126</v>
      </c>
      <c r="B18" s="80" t="s">
        <v>68</v>
      </c>
      <c r="C18" s="84"/>
    </row>
    <row r="19" spans="1:3" ht="15.75" thickBot="1" x14ac:dyDescent="0.3">
      <c r="A19" s="79" t="s">
        <v>127</v>
      </c>
      <c r="B19" s="82" t="s">
        <v>69</v>
      </c>
      <c r="C19" s="84"/>
    </row>
    <row r="20" spans="1:3" ht="21.75" thickBot="1" x14ac:dyDescent="0.3">
      <c r="A20" s="73" t="s">
        <v>70</v>
      </c>
      <c r="B20" s="74" t="s">
        <v>71</v>
      </c>
      <c r="C20" s="75">
        <f>SUM(C21:C23)</f>
        <v>22534054</v>
      </c>
    </row>
    <row r="21" spans="1:3" x14ac:dyDescent="0.25">
      <c r="A21" s="79" t="s">
        <v>128</v>
      </c>
      <c r="B21" s="85" t="s">
        <v>72</v>
      </c>
      <c r="C21" s="81"/>
    </row>
    <row r="22" spans="1:3" x14ac:dyDescent="0.25">
      <c r="A22" s="79" t="s">
        <v>129</v>
      </c>
      <c r="B22" s="80" t="s">
        <v>142</v>
      </c>
      <c r="C22" s="81"/>
    </row>
    <row r="23" spans="1:3" ht="22.5" x14ac:dyDescent="0.25">
      <c r="A23" s="79" t="s">
        <v>130</v>
      </c>
      <c r="B23" s="80" t="s">
        <v>74</v>
      </c>
      <c r="C23" s="81">
        <v>22534054</v>
      </c>
    </row>
    <row r="24" spans="1:3" ht="15.75" thickBot="1" x14ac:dyDescent="0.3">
      <c r="A24" s="79" t="s">
        <v>131</v>
      </c>
      <c r="B24" s="80" t="s">
        <v>75</v>
      </c>
      <c r="C24" s="81"/>
    </row>
    <row r="25" spans="1:3" ht="15.75" thickBot="1" x14ac:dyDescent="0.3">
      <c r="A25" s="86" t="s">
        <v>76</v>
      </c>
      <c r="B25" s="87" t="s">
        <v>21</v>
      </c>
      <c r="C25" s="88"/>
    </row>
    <row r="26" spans="1:3" ht="21.75" thickBot="1" x14ac:dyDescent="0.3">
      <c r="A26" s="86" t="s">
        <v>77</v>
      </c>
      <c r="B26" s="87" t="s">
        <v>78</v>
      </c>
      <c r="C26" s="75">
        <f>+C27+C28+C29</f>
        <v>0</v>
      </c>
    </row>
    <row r="27" spans="1:3" x14ac:dyDescent="0.25">
      <c r="A27" s="89" t="s">
        <v>132</v>
      </c>
      <c r="B27" s="90" t="s">
        <v>79</v>
      </c>
      <c r="C27" s="91"/>
    </row>
    <row r="28" spans="1:3" ht="22.5" x14ac:dyDescent="0.25">
      <c r="A28" s="89" t="s">
        <v>133</v>
      </c>
      <c r="B28" s="90" t="s">
        <v>73</v>
      </c>
      <c r="C28" s="81"/>
    </row>
    <row r="29" spans="1:3" ht="22.5" x14ac:dyDescent="0.25">
      <c r="A29" s="89" t="s">
        <v>134</v>
      </c>
      <c r="B29" s="92" t="s">
        <v>80</v>
      </c>
      <c r="C29" s="81"/>
    </row>
    <row r="30" spans="1:3" ht="15.75" thickBot="1" x14ac:dyDescent="0.3">
      <c r="A30" s="79" t="s">
        <v>135</v>
      </c>
      <c r="B30" s="93" t="s">
        <v>81</v>
      </c>
      <c r="C30" s="94"/>
    </row>
    <row r="31" spans="1:3" ht="15.75" thickBot="1" x14ac:dyDescent="0.3">
      <c r="A31" s="86" t="s">
        <v>82</v>
      </c>
      <c r="B31" s="87" t="s">
        <v>83</v>
      </c>
      <c r="C31" s="75">
        <f>+C32+C33+C34</f>
        <v>0</v>
      </c>
    </row>
    <row r="32" spans="1:3" x14ac:dyDescent="0.25">
      <c r="A32" s="89" t="s">
        <v>136</v>
      </c>
      <c r="B32" s="90" t="s">
        <v>84</v>
      </c>
      <c r="C32" s="91"/>
    </row>
    <row r="33" spans="1:3" x14ac:dyDescent="0.25">
      <c r="A33" s="89" t="s">
        <v>137</v>
      </c>
      <c r="B33" s="92" t="s">
        <v>85</v>
      </c>
      <c r="C33" s="95"/>
    </row>
    <row r="34" spans="1:3" ht="15.75" thickBot="1" x14ac:dyDescent="0.3">
      <c r="A34" s="79" t="s">
        <v>138</v>
      </c>
      <c r="B34" s="93" t="s">
        <v>86</v>
      </c>
      <c r="C34" s="94"/>
    </row>
    <row r="35" spans="1:3" ht="15.75" thickBot="1" x14ac:dyDescent="0.3">
      <c r="A35" s="86" t="s">
        <v>87</v>
      </c>
      <c r="B35" s="87" t="s">
        <v>88</v>
      </c>
      <c r="C35" s="88"/>
    </row>
    <row r="36" spans="1:3" ht="15.75" thickBot="1" x14ac:dyDescent="0.3">
      <c r="A36" s="86" t="s">
        <v>89</v>
      </c>
      <c r="B36" s="87" t="s">
        <v>90</v>
      </c>
      <c r="C36" s="96"/>
    </row>
    <row r="37" spans="1:3" ht="15.75" thickBot="1" x14ac:dyDescent="0.3">
      <c r="A37" s="73" t="s">
        <v>91</v>
      </c>
      <c r="B37" s="87" t="s">
        <v>92</v>
      </c>
      <c r="C37" s="97">
        <f>+C8+C20+C25+C26+C31+C35+C36</f>
        <v>24903736</v>
      </c>
    </row>
    <row r="38" spans="1:3" ht="15.75" thickBot="1" x14ac:dyDescent="0.3">
      <c r="A38" s="115" t="s">
        <v>93</v>
      </c>
      <c r="B38" s="87" t="s">
        <v>94</v>
      </c>
      <c r="C38" s="97">
        <f>+C39+C40+C41</f>
        <v>264833326</v>
      </c>
    </row>
    <row r="39" spans="1:3" x14ac:dyDescent="0.25">
      <c r="A39" s="89" t="s">
        <v>139</v>
      </c>
      <c r="B39" s="90" t="s">
        <v>95</v>
      </c>
      <c r="C39" s="91">
        <v>22365589</v>
      </c>
    </row>
    <row r="40" spans="1:3" x14ac:dyDescent="0.25">
      <c r="A40" s="89" t="s">
        <v>140</v>
      </c>
      <c r="B40" s="92" t="s">
        <v>96</v>
      </c>
      <c r="C40" s="95"/>
    </row>
    <row r="41" spans="1:3" ht="23.25" thickBot="1" x14ac:dyDescent="0.3">
      <c r="A41" s="79" t="s">
        <v>141</v>
      </c>
      <c r="B41" s="93" t="s">
        <v>97</v>
      </c>
      <c r="C41" s="140">
        <f>242467736+1</f>
        <v>242467737</v>
      </c>
    </row>
    <row r="42" spans="1:3" ht="15.75" thickBot="1" x14ac:dyDescent="0.3">
      <c r="A42" s="115" t="s">
        <v>98</v>
      </c>
      <c r="B42" s="116" t="s">
        <v>99</v>
      </c>
      <c r="C42" s="98">
        <f>+C37+C38</f>
        <v>289737062</v>
      </c>
    </row>
    <row r="43" spans="1:3" x14ac:dyDescent="0.25">
      <c r="A43" s="99"/>
      <c r="B43" s="100"/>
      <c r="C43" s="101"/>
    </row>
    <row r="44" spans="1:3" x14ac:dyDescent="0.25">
      <c r="A44" s="99"/>
      <c r="B44" s="100"/>
      <c r="C44" s="101"/>
    </row>
    <row r="45" spans="1:3" ht="15.75" thickBot="1" x14ac:dyDescent="0.3">
      <c r="A45" s="117"/>
      <c r="B45" s="118"/>
      <c r="C45" s="119"/>
    </row>
    <row r="46" spans="1:3" ht="15.75" thickBot="1" x14ac:dyDescent="0.3">
      <c r="A46" s="102"/>
      <c r="B46" s="103" t="s">
        <v>100</v>
      </c>
      <c r="C46" s="98"/>
    </row>
    <row r="47" spans="1:3" ht="15.75" thickBot="1" x14ac:dyDescent="0.3">
      <c r="A47" s="86" t="s">
        <v>61</v>
      </c>
      <c r="B47" s="87" t="s">
        <v>101</v>
      </c>
      <c r="C47" s="75">
        <f>SUM(C48:C52)</f>
        <v>288581362</v>
      </c>
    </row>
    <row r="48" spans="1:3" x14ac:dyDescent="0.25">
      <c r="A48" s="79" t="s">
        <v>117</v>
      </c>
      <c r="B48" s="85" t="s">
        <v>102</v>
      </c>
      <c r="C48" s="91">
        <v>193335545</v>
      </c>
    </row>
    <row r="49" spans="1:3" x14ac:dyDescent="0.25">
      <c r="A49" s="79" t="s">
        <v>118</v>
      </c>
      <c r="B49" s="80" t="s">
        <v>103</v>
      </c>
      <c r="C49" s="104">
        <v>25898206</v>
      </c>
    </row>
    <row r="50" spans="1:3" x14ac:dyDescent="0.25">
      <c r="A50" s="79" t="s">
        <v>119</v>
      </c>
      <c r="B50" s="80" t="s">
        <v>104</v>
      </c>
      <c r="C50" s="136">
        <v>46982022</v>
      </c>
    </row>
    <row r="51" spans="1:3" x14ac:dyDescent="0.25">
      <c r="A51" s="79" t="s">
        <v>120</v>
      </c>
      <c r="B51" s="80" t="s">
        <v>105</v>
      </c>
      <c r="C51" s="104"/>
    </row>
    <row r="52" spans="1:3" ht="15.75" thickBot="1" x14ac:dyDescent="0.3">
      <c r="A52" s="79" t="s">
        <v>121</v>
      </c>
      <c r="B52" s="80" t="s">
        <v>106</v>
      </c>
      <c r="C52" s="136">
        <v>22365589</v>
      </c>
    </row>
    <row r="53" spans="1:3" ht="15.75" thickBot="1" x14ac:dyDescent="0.3">
      <c r="A53" s="86" t="s">
        <v>70</v>
      </c>
      <c r="B53" s="87" t="s">
        <v>107</v>
      </c>
      <c r="C53" s="75">
        <f>SUM(C54:C56)</f>
        <v>1155700</v>
      </c>
    </row>
    <row r="54" spans="1:3" x14ac:dyDescent="0.25">
      <c r="A54" s="79" t="s">
        <v>128</v>
      </c>
      <c r="B54" s="85" t="s">
        <v>108</v>
      </c>
      <c r="C54" s="91">
        <v>1155700</v>
      </c>
    </row>
    <row r="55" spans="1:3" x14ac:dyDescent="0.25">
      <c r="A55" s="79" t="s">
        <v>129</v>
      </c>
      <c r="B55" s="80" t="s">
        <v>22</v>
      </c>
      <c r="C55" s="104"/>
    </row>
    <row r="56" spans="1:3" x14ac:dyDescent="0.25">
      <c r="A56" s="79" t="s">
        <v>130</v>
      </c>
      <c r="B56" s="80" t="s">
        <v>109</v>
      </c>
      <c r="C56" s="104"/>
    </row>
    <row r="57" spans="1:3" ht="23.25" thickBot="1" x14ac:dyDescent="0.3">
      <c r="A57" s="79" t="s">
        <v>131</v>
      </c>
      <c r="B57" s="80" t="s">
        <v>110</v>
      </c>
      <c r="C57" s="104"/>
    </row>
    <row r="58" spans="1:3" ht="15.75" thickBot="1" x14ac:dyDescent="0.3">
      <c r="A58" s="86" t="s">
        <v>76</v>
      </c>
      <c r="B58" s="87" t="s">
        <v>111</v>
      </c>
      <c r="C58" s="88"/>
    </row>
    <row r="59" spans="1:3" ht="15.75" thickBot="1" x14ac:dyDescent="0.3">
      <c r="A59" s="86" t="s">
        <v>77</v>
      </c>
      <c r="B59" s="105" t="s">
        <v>112</v>
      </c>
      <c r="C59" s="106">
        <f>+C47+C53+C58</f>
        <v>289737062</v>
      </c>
    </row>
    <row r="60" spans="1:3" ht="15.75" thickBot="1" x14ac:dyDescent="0.3">
      <c r="A60" s="120"/>
      <c r="B60" s="121"/>
      <c r="C60" s="122">
        <f>C42-C59</f>
        <v>0</v>
      </c>
    </row>
    <row r="61" spans="1:3" ht="15.75" thickBot="1" x14ac:dyDescent="0.3">
      <c r="A61" s="107" t="s">
        <v>113</v>
      </c>
      <c r="B61" s="108"/>
      <c r="C61" s="109">
        <v>32</v>
      </c>
    </row>
    <row r="62" spans="1:3" ht="15.75" thickBot="1" x14ac:dyDescent="0.3">
      <c r="A62" s="107" t="s">
        <v>114</v>
      </c>
      <c r="B62" s="108"/>
      <c r="C62" s="109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29"/>
  <sheetViews>
    <sheetView zoomScaleNormal="100" zoomScaleSheetLayoutView="100" workbookViewId="0">
      <selection activeCell="V20" sqref="V20"/>
    </sheetView>
  </sheetViews>
  <sheetFormatPr defaultColWidth="8.85546875" defaultRowHeight="24.95" customHeight="1" x14ac:dyDescent="0.25"/>
  <cols>
    <col min="1" max="1" width="27.85546875" style="32" customWidth="1"/>
    <col min="2" max="2" width="13.5703125" style="1" bestFit="1" customWidth="1"/>
    <col min="3" max="5" width="10.7109375" style="4" customWidth="1"/>
    <col min="6" max="6" width="13.140625" style="4" customWidth="1"/>
    <col min="7" max="7" width="10.7109375" style="4" bestFit="1" customWidth="1"/>
    <col min="8" max="8" width="11.7109375" style="46" customWidth="1"/>
    <col min="9" max="9" width="10.85546875" style="4" customWidth="1"/>
    <col min="10" max="10" width="10.7109375" style="4" customWidth="1"/>
    <col min="11" max="11" width="11.28515625" style="4" customWidth="1"/>
    <col min="12" max="12" width="12" style="4" customWidth="1"/>
    <col min="13" max="13" width="11.140625" style="4" customWidth="1"/>
    <col min="14" max="14" width="11.28515625" style="4" customWidth="1"/>
    <col min="15" max="15" width="14.85546875" style="4" bestFit="1" customWidth="1"/>
    <col min="16" max="18" width="13.5703125" style="4" bestFit="1" customWidth="1"/>
    <col min="19" max="20" width="12.42578125" style="4" bestFit="1" customWidth="1"/>
    <col min="21" max="21" width="14.85546875" style="4" bestFit="1" customWidth="1"/>
    <col min="22" max="22" width="10.85546875" style="2" customWidth="1"/>
    <col min="23" max="48" width="8.85546875" style="2"/>
    <col min="49" max="16384" width="8.85546875" style="1"/>
  </cols>
  <sheetData>
    <row r="1" spans="1:48" s="17" customFormat="1" ht="45" x14ac:dyDescent="0.25">
      <c r="A1" s="124" t="s">
        <v>15</v>
      </c>
      <c r="B1" s="124" t="s">
        <v>36</v>
      </c>
      <c r="C1" s="125" t="s">
        <v>23</v>
      </c>
      <c r="D1" s="125" t="s">
        <v>149</v>
      </c>
      <c r="E1" s="125" t="s">
        <v>37</v>
      </c>
      <c r="F1" s="125" t="s">
        <v>38</v>
      </c>
      <c r="G1" s="125" t="s">
        <v>51</v>
      </c>
      <c r="H1" s="126" t="s">
        <v>0</v>
      </c>
      <c r="I1" s="125" t="s">
        <v>4</v>
      </c>
      <c r="J1" s="125" t="s">
        <v>5</v>
      </c>
      <c r="K1" s="125" t="s">
        <v>6</v>
      </c>
      <c r="L1" s="125" t="s">
        <v>44</v>
      </c>
      <c r="M1" s="125" t="s">
        <v>16</v>
      </c>
      <c r="N1" s="125" t="s">
        <v>17</v>
      </c>
      <c r="O1" s="125" t="s">
        <v>1</v>
      </c>
      <c r="P1" s="125" t="s">
        <v>2</v>
      </c>
      <c r="Q1" s="125" t="s">
        <v>3</v>
      </c>
      <c r="R1" s="125" t="s">
        <v>45</v>
      </c>
      <c r="S1" s="125" t="s">
        <v>18</v>
      </c>
      <c r="T1" s="125" t="s">
        <v>19</v>
      </c>
      <c r="U1" s="125" t="s">
        <v>8</v>
      </c>
      <c r="V1" s="22"/>
      <c r="W1" s="22"/>
      <c r="X1" s="22"/>
      <c r="Y1" s="57"/>
      <c r="Z1" s="58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8" s="33" customFormat="1" ht="45" x14ac:dyDescent="0.25">
      <c r="A2" s="12" t="s">
        <v>42</v>
      </c>
      <c r="B2" s="10">
        <v>171235680</v>
      </c>
      <c r="C2" s="10">
        <v>22264486</v>
      </c>
      <c r="D2" s="10"/>
      <c r="E2" s="27"/>
      <c r="F2" s="10"/>
      <c r="G2" s="10"/>
      <c r="H2" s="26">
        <f>SUM(B2:F2)</f>
        <v>193500166</v>
      </c>
      <c r="I2" s="48">
        <v>0.70899999999999996</v>
      </c>
      <c r="J2" s="48">
        <v>7.9600000000000004E-2</v>
      </c>
      <c r="K2" s="48">
        <v>8.0299999999999996E-2</v>
      </c>
      <c r="L2" s="48">
        <v>6.7299999999999999E-2</v>
      </c>
      <c r="M2" s="48">
        <v>3.3099999999999997E-2</v>
      </c>
      <c r="N2" s="48">
        <v>3.0700000000000002E-2</v>
      </c>
      <c r="O2" s="10">
        <f>+ROUND($B$2*I2,0)</f>
        <v>121406097</v>
      </c>
      <c r="P2" s="10">
        <f t="shared" ref="P2:T2" si="0">+ROUND($B$2*J2,0)</f>
        <v>13630360</v>
      </c>
      <c r="Q2" s="10">
        <f t="shared" si="0"/>
        <v>13750225</v>
      </c>
      <c r="R2" s="10">
        <f t="shared" si="0"/>
        <v>11524161</v>
      </c>
      <c r="S2" s="10">
        <f t="shared" si="0"/>
        <v>5667901</v>
      </c>
      <c r="T2" s="10">
        <f t="shared" si="0"/>
        <v>5256935</v>
      </c>
      <c r="U2" s="26">
        <f>SUM(O2:T2)+1</f>
        <v>171235680</v>
      </c>
      <c r="V2" s="36">
        <f t="shared" ref="V2:V8" si="1">U2-B2</f>
        <v>0</v>
      </c>
      <c r="W2" s="13"/>
      <c r="X2" s="13"/>
      <c r="Y2" s="27"/>
      <c r="Z2" s="27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48" s="33" customFormat="1" ht="15" x14ac:dyDescent="0.25">
      <c r="A3" s="12" t="s">
        <v>143</v>
      </c>
      <c r="B3" s="10"/>
      <c r="C3" s="10">
        <f t="shared" ref="C3" si="2">B3*13%</f>
        <v>0</v>
      </c>
      <c r="D3" s="10"/>
      <c r="E3" s="27"/>
      <c r="F3" s="10"/>
      <c r="G3" s="10"/>
      <c r="H3" s="26">
        <f t="shared" ref="H3:H10" si="3">SUM(B3:F3)</f>
        <v>0</v>
      </c>
      <c r="I3" s="48">
        <v>0.70899999999999996</v>
      </c>
      <c r="J3" s="48">
        <v>7.9600000000000004E-2</v>
      </c>
      <c r="K3" s="48">
        <v>8.0299999999999996E-2</v>
      </c>
      <c r="L3" s="48">
        <v>6.7299999999999999E-2</v>
      </c>
      <c r="M3" s="48">
        <v>3.3099999999999997E-2</v>
      </c>
      <c r="N3" s="48">
        <v>3.0700000000000002E-2</v>
      </c>
      <c r="O3" s="10">
        <f>+ROUND($B$3*I3,0)</f>
        <v>0</v>
      </c>
      <c r="P3" s="10">
        <f t="shared" ref="P3:T3" si="4">+ROUND($B$3*J3,0)</f>
        <v>0</v>
      </c>
      <c r="Q3" s="10">
        <f t="shared" si="4"/>
        <v>0</v>
      </c>
      <c r="R3" s="10">
        <f t="shared" si="4"/>
        <v>0</v>
      </c>
      <c r="S3" s="10">
        <f t="shared" si="4"/>
        <v>0</v>
      </c>
      <c r="T3" s="10">
        <f t="shared" si="4"/>
        <v>0</v>
      </c>
      <c r="U3" s="26">
        <f>SUM(O3:T3)</f>
        <v>0</v>
      </c>
      <c r="V3" s="36">
        <f t="shared" si="1"/>
        <v>0</v>
      </c>
      <c r="W3" s="13"/>
      <c r="X3" s="13"/>
      <c r="Y3" s="27"/>
      <c r="Z3" s="27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48" s="33" customFormat="1" ht="15" x14ac:dyDescent="0.25">
      <c r="A4" s="12" t="s">
        <v>50</v>
      </c>
      <c r="B4" s="10">
        <v>4779865</v>
      </c>
      <c r="C4" s="10">
        <v>621382</v>
      </c>
      <c r="D4" s="10"/>
      <c r="E4" s="27"/>
      <c r="F4" s="10"/>
      <c r="G4" s="10"/>
      <c r="H4" s="26">
        <f t="shared" si="3"/>
        <v>5401247</v>
      </c>
      <c r="I4" s="48">
        <v>0.70899999999999996</v>
      </c>
      <c r="J4" s="48">
        <v>7.9600000000000004E-2</v>
      </c>
      <c r="K4" s="48">
        <v>8.0299999999999996E-2</v>
      </c>
      <c r="L4" s="48">
        <v>6.7299999999999999E-2</v>
      </c>
      <c r="M4" s="48">
        <v>3.3099999999999997E-2</v>
      </c>
      <c r="N4" s="48">
        <v>3.0700000000000002E-2</v>
      </c>
      <c r="O4" s="10">
        <f>+ROUND($B$4*I4,0)</f>
        <v>3388924</v>
      </c>
      <c r="P4" s="10">
        <f t="shared" ref="P4:T4" si="5">+ROUND($B$4*J4,0)</f>
        <v>380477</v>
      </c>
      <c r="Q4" s="10">
        <f t="shared" si="5"/>
        <v>383823</v>
      </c>
      <c r="R4" s="10">
        <f t="shared" si="5"/>
        <v>321685</v>
      </c>
      <c r="S4" s="10">
        <f t="shared" si="5"/>
        <v>158214</v>
      </c>
      <c r="T4" s="10">
        <f t="shared" si="5"/>
        <v>146742</v>
      </c>
      <c r="U4" s="26">
        <f t="shared" ref="U4:U6" si="6">SUM(O4:T4)</f>
        <v>4779865</v>
      </c>
      <c r="V4" s="36">
        <f t="shared" si="1"/>
        <v>0</v>
      </c>
      <c r="W4" s="13"/>
      <c r="X4" s="13"/>
      <c r="Y4" s="27"/>
      <c r="Z4" s="27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spans="1:48" s="33" customFormat="1" ht="15" x14ac:dyDescent="0.25">
      <c r="A5" s="12" t="s">
        <v>33</v>
      </c>
      <c r="B5" s="10">
        <v>6335000</v>
      </c>
      <c r="C5" s="10">
        <v>1773800</v>
      </c>
      <c r="D5" s="10"/>
      <c r="E5" s="27"/>
      <c r="F5" s="10"/>
      <c r="G5" s="10"/>
      <c r="H5" s="26">
        <f t="shared" si="3"/>
        <v>8108800</v>
      </c>
      <c r="I5" s="48">
        <v>0.70899999999999996</v>
      </c>
      <c r="J5" s="48">
        <v>7.9600000000000004E-2</v>
      </c>
      <c r="K5" s="48">
        <v>8.0299999999999996E-2</v>
      </c>
      <c r="L5" s="48">
        <v>6.7299999999999999E-2</v>
      </c>
      <c r="M5" s="48">
        <v>3.3099999999999997E-2</v>
      </c>
      <c r="N5" s="48">
        <v>3.0700000000000002E-2</v>
      </c>
      <c r="O5" s="10">
        <f>+ROUND($B$5*I5,0)</f>
        <v>4491515</v>
      </c>
      <c r="P5" s="10">
        <f t="shared" ref="P5:T5" si="7">+ROUND($B$5*J5,0)</f>
        <v>504266</v>
      </c>
      <c r="Q5" s="10">
        <f t="shared" si="7"/>
        <v>508701</v>
      </c>
      <c r="R5" s="10">
        <f t="shared" si="7"/>
        <v>426346</v>
      </c>
      <c r="S5" s="10">
        <f t="shared" si="7"/>
        <v>209689</v>
      </c>
      <c r="T5" s="10">
        <f t="shared" si="7"/>
        <v>194485</v>
      </c>
      <c r="U5" s="26">
        <f t="shared" si="6"/>
        <v>6335002</v>
      </c>
      <c r="V5" s="36">
        <f t="shared" si="1"/>
        <v>2</v>
      </c>
      <c r="W5" s="13"/>
      <c r="X5" s="13"/>
      <c r="Y5" s="27"/>
      <c r="Z5" s="27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s="33" customFormat="1" ht="15" x14ac:dyDescent="0.25">
      <c r="A6" s="12" t="s">
        <v>49</v>
      </c>
      <c r="B6" s="10">
        <v>2000000</v>
      </c>
      <c r="C6" s="10"/>
      <c r="D6" s="10"/>
      <c r="E6" s="27"/>
      <c r="F6" s="10"/>
      <c r="G6" s="10"/>
      <c r="H6" s="26">
        <f t="shared" si="3"/>
        <v>2000000</v>
      </c>
      <c r="I6" s="48">
        <v>0.70899999999999996</v>
      </c>
      <c r="J6" s="48">
        <v>7.9600000000000004E-2</v>
      </c>
      <c r="K6" s="48">
        <v>8.0299999999999996E-2</v>
      </c>
      <c r="L6" s="48">
        <v>6.7299999999999999E-2</v>
      </c>
      <c r="M6" s="48">
        <v>3.3099999999999997E-2</v>
      </c>
      <c r="N6" s="48">
        <v>3.0700000000000002E-2</v>
      </c>
      <c r="O6" s="10">
        <f>+ROUND($B$6*I6,0)</f>
        <v>1418000</v>
      </c>
      <c r="P6" s="10">
        <f t="shared" ref="P6:T6" si="8">+ROUND($B$6*J6,0)</f>
        <v>159200</v>
      </c>
      <c r="Q6" s="10">
        <f t="shared" si="8"/>
        <v>160600</v>
      </c>
      <c r="R6" s="10">
        <f t="shared" si="8"/>
        <v>134600</v>
      </c>
      <c r="S6" s="10">
        <f t="shared" si="8"/>
        <v>66200</v>
      </c>
      <c r="T6" s="10">
        <f t="shared" si="8"/>
        <v>61400</v>
      </c>
      <c r="U6" s="26">
        <f t="shared" si="6"/>
        <v>2000000</v>
      </c>
      <c r="V6" s="36">
        <f t="shared" si="1"/>
        <v>0</v>
      </c>
      <c r="W6" s="13"/>
      <c r="X6" s="13"/>
      <c r="Y6" s="27"/>
      <c r="Z6" s="27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9" customFormat="1" ht="24.95" customHeight="1" x14ac:dyDescent="0.25">
      <c r="A7" s="30" t="s">
        <v>29</v>
      </c>
      <c r="B7" s="10">
        <v>3170000</v>
      </c>
      <c r="C7" s="10">
        <v>403000</v>
      </c>
      <c r="D7" s="10"/>
      <c r="E7" s="27"/>
      <c r="F7" s="10"/>
      <c r="G7" s="10"/>
      <c r="H7" s="26">
        <f t="shared" si="3"/>
        <v>3573000</v>
      </c>
      <c r="I7" s="48">
        <v>0.70899999999999996</v>
      </c>
      <c r="J7" s="48">
        <v>7.9600000000000004E-2</v>
      </c>
      <c r="K7" s="48">
        <v>8.0299999999999996E-2</v>
      </c>
      <c r="L7" s="48">
        <v>6.7299999999999999E-2</v>
      </c>
      <c r="M7" s="48">
        <v>3.3099999999999997E-2</v>
      </c>
      <c r="N7" s="48">
        <v>3.0700000000000002E-2</v>
      </c>
      <c r="O7" s="10">
        <f>+ROUND($B$7*I7,0)</f>
        <v>2247530</v>
      </c>
      <c r="P7" s="10">
        <f t="shared" ref="P7:T7" si="9">+ROUND($B$7*J7,0)</f>
        <v>252332</v>
      </c>
      <c r="Q7" s="10">
        <f t="shared" si="9"/>
        <v>254551</v>
      </c>
      <c r="R7" s="10">
        <f t="shared" si="9"/>
        <v>213341</v>
      </c>
      <c r="S7" s="10">
        <f t="shared" si="9"/>
        <v>104927</v>
      </c>
      <c r="T7" s="10">
        <f t="shared" si="9"/>
        <v>97319</v>
      </c>
      <c r="U7" s="26">
        <f t="shared" ref="U7:U10" si="10">SUM(O7:T7)</f>
        <v>3170000</v>
      </c>
      <c r="V7" s="36">
        <f t="shared" si="1"/>
        <v>0</v>
      </c>
      <c r="W7" s="11"/>
      <c r="X7" s="11"/>
      <c r="Y7" s="27"/>
      <c r="Z7" s="27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 s="11" customFormat="1" ht="24.95" customHeight="1" x14ac:dyDescent="0.25">
      <c r="A8" s="30" t="s">
        <v>24</v>
      </c>
      <c r="B8" s="27">
        <v>1000710</v>
      </c>
      <c r="C8" s="10">
        <f>B8*13%</f>
        <v>130092.3</v>
      </c>
      <c r="D8" s="10"/>
      <c r="E8" s="27"/>
      <c r="F8" s="27"/>
      <c r="G8" s="27"/>
      <c r="H8" s="26">
        <f t="shared" si="3"/>
        <v>1130802.3</v>
      </c>
      <c r="I8" s="48">
        <v>0.70899999999999996</v>
      </c>
      <c r="J8" s="48">
        <v>7.9600000000000004E-2</v>
      </c>
      <c r="K8" s="48">
        <v>8.0299999999999996E-2</v>
      </c>
      <c r="L8" s="48">
        <v>6.7299999999999999E-2</v>
      </c>
      <c r="M8" s="48">
        <v>3.3099999999999997E-2</v>
      </c>
      <c r="N8" s="48">
        <v>3.0700000000000002E-2</v>
      </c>
      <c r="O8" s="10">
        <f>+ROUND($B$8*I8,0)</f>
        <v>709503</v>
      </c>
      <c r="P8" s="10">
        <f>+ROUND($B$8*J8,0)</f>
        <v>79657</v>
      </c>
      <c r="Q8" s="10">
        <f t="shared" ref="Q8:T8" si="11">+ROUND($B$8*K8,0)</f>
        <v>80357</v>
      </c>
      <c r="R8" s="10">
        <f t="shared" si="11"/>
        <v>67348</v>
      </c>
      <c r="S8" s="10">
        <f t="shared" si="11"/>
        <v>33124</v>
      </c>
      <c r="T8" s="10">
        <f t="shared" si="11"/>
        <v>30722</v>
      </c>
      <c r="U8" s="36">
        <f>SUM(O8:T8)-1</f>
        <v>1000710</v>
      </c>
      <c r="V8" s="36">
        <f t="shared" si="1"/>
        <v>0</v>
      </c>
      <c r="Y8" s="27"/>
      <c r="Z8" s="27"/>
    </row>
    <row r="9" spans="1:48" s="11" customFormat="1" ht="24.95" customHeight="1" x14ac:dyDescent="0.25">
      <c r="A9" s="30" t="s">
        <v>151</v>
      </c>
      <c r="B9" s="138">
        <v>4264290</v>
      </c>
      <c r="C9" s="138">
        <v>551446</v>
      </c>
      <c r="D9" s="10"/>
      <c r="E9" s="27"/>
      <c r="F9" s="27"/>
      <c r="G9" s="27"/>
      <c r="H9" s="26">
        <f t="shared" si="3"/>
        <v>4815736</v>
      </c>
      <c r="I9" s="48"/>
      <c r="J9" s="48"/>
      <c r="K9" s="48"/>
      <c r="L9" s="48"/>
      <c r="M9" s="48"/>
      <c r="N9" s="48"/>
      <c r="O9" s="10">
        <f>B9+C9</f>
        <v>4815736</v>
      </c>
      <c r="P9" s="10"/>
      <c r="Q9" s="10"/>
      <c r="R9" s="10"/>
      <c r="S9" s="10"/>
      <c r="T9" s="10"/>
      <c r="U9" s="36">
        <f>SUM(O9:T9)</f>
        <v>4815736</v>
      </c>
      <c r="V9" s="36"/>
      <c r="Y9" s="27"/>
      <c r="Z9" s="27"/>
    </row>
    <row r="10" spans="1:48" s="9" customFormat="1" ht="24.95" customHeight="1" x14ac:dyDescent="0.25">
      <c r="A10" s="12" t="s">
        <v>43</v>
      </c>
      <c r="B10" s="10">
        <v>550000</v>
      </c>
      <c r="C10" s="10">
        <v>154000</v>
      </c>
      <c r="D10" s="10"/>
      <c r="E10" s="27"/>
      <c r="F10" s="10"/>
      <c r="G10" s="10"/>
      <c r="H10" s="26">
        <f t="shared" si="3"/>
        <v>704000</v>
      </c>
      <c r="I10" s="48">
        <v>0.70899999999999996</v>
      </c>
      <c r="J10" s="48">
        <v>7.9600000000000004E-2</v>
      </c>
      <c r="K10" s="48">
        <v>8.0299999999999996E-2</v>
      </c>
      <c r="L10" s="48">
        <v>6.7299999999999999E-2</v>
      </c>
      <c r="M10" s="48">
        <v>3.3099999999999997E-2</v>
      </c>
      <c r="N10" s="48">
        <v>3.0700000000000002E-2</v>
      </c>
      <c r="O10" s="10">
        <f>+ROUND($B$10*I10,0)</f>
        <v>389950</v>
      </c>
      <c r="P10" s="10">
        <f t="shared" ref="P10:T10" si="12">+ROUND($B$10*J10,0)</f>
        <v>43780</v>
      </c>
      <c r="Q10" s="10">
        <f t="shared" si="12"/>
        <v>44165</v>
      </c>
      <c r="R10" s="10">
        <f t="shared" si="12"/>
        <v>37015</v>
      </c>
      <c r="S10" s="10">
        <f t="shared" si="12"/>
        <v>18205</v>
      </c>
      <c r="T10" s="10">
        <f t="shared" si="12"/>
        <v>16885</v>
      </c>
      <c r="U10" s="26">
        <f t="shared" si="10"/>
        <v>550000</v>
      </c>
      <c r="V10" s="133">
        <f>U10-B10</f>
        <v>0</v>
      </c>
      <c r="W10" s="11"/>
      <c r="X10" s="11"/>
      <c r="Y10" s="27"/>
      <c r="Z10" s="27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s="15" customFormat="1" ht="15" x14ac:dyDescent="0.25">
      <c r="A11" s="29" t="s">
        <v>35</v>
      </c>
      <c r="B11" s="16">
        <f>SUM(B2:B10)</f>
        <v>193335545</v>
      </c>
      <c r="C11" s="16">
        <f>SUM(C2:C10)</f>
        <v>25898206.300000001</v>
      </c>
      <c r="D11" s="16">
        <f t="shared" ref="D11" si="13">SUM(D2:D10)</f>
        <v>0</v>
      </c>
      <c r="E11" s="16">
        <v>0</v>
      </c>
      <c r="F11" s="16">
        <v>0</v>
      </c>
      <c r="G11" s="16"/>
      <c r="H11" s="16">
        <f>SUM(B11:B11)</f>
        <v>193335545</v>
      </c>
      <c r="I11" s="48">
        <v>0.70899999999999996</v>
      </c>
      <c r="J11" s="48">
        <v>7.9600000000000004E-2</v>
      </c>
      <c r="K11" s="48">
        <v>8.0299999999999996E-2</v>
      </c>
      <c r="L11" s="48">
        <v>6.7299999999999999E-2</v>
      </c>
      <c r="M11" s="48">
        <v>3.3099999999999997E-2</v>
      </c>
      <c r="N11" s="48">
        <v>3.0700000000000002E-2</v>
      </c>
      <c r="O11" s="16">
        <f t="shared" ref="O11:U11" si="14">SUM(O2:O10)</f>
        <v>138867255</v>
      </c>
      <c r="P11" s="16">
        <f t="shared" si="14"/>
        <v>15050072</v>
      </c>
      <c r="Q11" s="16">
        <f t="shared" si="14"/>
        <v>15182422</v>
      </c>
      <c r="R11" s="16">
        <f t="shared" si="14"/>
        <v>12724496</v>
      </c>
      <c r="S11" s="16">
        <f t="shared" si="14"/>
        <v>6258260</v>
      </c>
      <c r="T11" s="16">
        <f t="shared" si="14"/>
        <v>5804488</v>
      </c>
      <c r="U11" s="16">
        <f t="shared" si="14"/>
        <v>193886993</v>
      </c>
      <c r="V11" s="36"/>
      <c r="W11" s="13"/>
      <c r="X11" s="13"/>
      <c r="Y11" s="36"/>
      <c r="Z11" s="36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 s="15" customFormat="1" ht="30" x14ac:dyDescent="0.25">
      <c r="A12" s="29" t="s">
        <v>34</v>
      </c>
      <c r="B12" s="16"/>
      <c r="C12" s="16">
        <f>SUM(C2:C10)</f>
        <v>25898206.300000001</v>
      </c>
      <c r="D12" s="16">
        <f>SUM(D2:D10)</f>
        <v>0</v>
      </c>
      <c r="E12" s="16">
        <v>0</v>
      </c>
      <c r="F12" s="16">
        <v>0</v>
      </c>
      <c r="G12" s="16"/>
      <c r="H12" s="16">
        <f>SUM(B12:F12)</f>
        <v>25898206.300000001</v>
      </c>
      <c r="I12" s="48">
        <v>0.70899999999999996</v>
      </c>
      <c r="J12" s="48">
        <v>7.9600000000000004E-2</v>
      </c>
      <c r="K12" s="48">
        <v>8.0299999999999996E-2</v>
      </c>
      <c r="L12" s="48">
        <v>6.7299999999999999E-2</v>
      </c>
      <c r="M12" s="48">
        <v>3.3099999999999997E-2</v>
      </c>
      <c r="N12" s="48">
        <v>3.0700000000000002E-2</v>
      </c>
      <c r="O12" s="16">
        <f>+ROUND($C$12*I12,0)-551446-2</f>
        <v>17810380</v>
      </c>
      <c r="P12" s="16">
        <f t="shared" ref="P12:T12" si="15">+ROUND($C$12*J12,0)</f>
        <v>2061497</v>
      </c>
      <c r="Q12" s="16">
        <f t="shared" si="15"/>
        <v>2079626</v>
      </c>
      <c r="R12" s="16">
        <f t="shared" si="15"/>
        <v>1742949</v>
      </c>
      <c r="S12" s="16">
        <f t="shared" si="15"/>
        <v>857231</v>
      </c>
      <c r="T12" s="16">
        <f t="shared" si="15"/>
        <v>795075</v>
      </c>
      <c r="U12" s="16">
        <f t="shared" ref="U12:U17" si="16">SUM(O12:T12)</f>
        <v>25346758</v>
      </c>
      <c r="V12" s="36">
        <f>U12-C12</f>
        <v>-551448.30000000075</v>
      </c>
      <c r="W12" s="13"/>
      <c r="X12" s="13"/>
      <c r="Y12" s="36"/>
      <c r="Z12" s="3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s="4" customFormat="1" ht="33" customHeight="1" x14ac:dyDescent="0.25">
      <c r="A13" s="53" t="s">
        <v>40</v>
      </c>
      <c r="B13" s="54"/>
      <c r="C13" s="54"/>
      <c r="D13" s="54"/>
      <c r="E13" s="54">
        <v>5000000</v>
      </c>
      <c r="F13" s="54"/>
      <c r="G13" s="54"/>
      <c r="H13" s="40">
        <f t="shared" ref="H13:H19" si="17">SUM(B13:G13)</f>
        <v>5000000</v>
      </c>
      <c r="I13" s="48">
        <v>0.70899999999999996</v>
      </c>
      <c r="J13" s="48">
        <v>7.9600000000000004E-2</v>
      </c>
      <c r="K13" s="48">
        <v>8.0299999999999996E-2</v>
      </c>
      <c r="L13" s="48">
        <v>6.7299999999999999E-2</v>
      </c>
      <c r="M13" s="48">
        <v>3.3099999999999997E-2</v>
      </c>
      <c r="N13" s="48">
        <v>3.0700000000000002E-2</v>
      </c>
      <c r="O13" s="40">
        <f>+ROUND($E$13*I13,0)</f>
        <v>3545000</v>
      </c>
      <c r="P13" s="40">
        <f t="shared" ref="P13:T13" si="18">+ROUND($E$13*J13,0)</f>
        <v>398000</v>
      </c>
      <c r="Q13" s="40">
        <f t="shared" si="18"/>
        <v>401500</v>
      </c>
      <c r="R13" s="40">
        <f t="shared" si="18"/>
        <v>336500</v>
      </c>
      <c r="S13" s="40">
        <f t="shared" si="18"/>
        <v>165500</v>
      </c>
      <c r="T13" s="40">
        <f t="shared" si="18"/>
        <v>153500</v>
      </c>
      <c r="U13" s="40">
        <f t="shared" si="16"/>
        <v>5000000</v>
      </c>
      <c r="V13" s="36">
        <f>U13-E13</f>
        <v>0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s="4" customFormat="1" ht="45" x14ac:dyDescent="0.25">
      <c r="A14" s="12" t="s">
        <v>39</v>
      </c>
      <c r="B14" s="10"/>
      <c r="C14" s="10"/>
      <c r="D14" s="10"/>
      <c r="E14" s="138">
        <f>25882021+1</f>
        <v>25882022</v>
      </c>
      <c r="F14" s="10"/>
      <c r="G14" s="10"/>
      <c r="H14" s="26">
        <f t="shared" si="17"/>
        <v>25882022</v>
      </c>
      <c r="I14" s="48"/>
      <c r="J14" s="48"/>
      <c r="K14" s="48"/>
      <c r="L14" s="48"/>
      <c r="M14" s="48"/>
      <c r="N14" s="48"/>
      <c r="O14" s="10">
        <f>25882021+1</f>
        <v>25882022</v>
      </c>
      <c r="P14" s="10"/>
      <c r="Q14" s="10"/>
      <c r="R14" s="10"/>
      <c r="S14" s="5"/>
      <c r="T14" s="5"/>
      <c r="U14" s="26">
        <f t="shared" si="16"/>
        <v>25882022</v>
      </c>
      <c r="V14" s="24">
        <f>U14-O14</f>
        <v>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s="4" customFormat="1" ht="15" x14ac:dyDescent="0.25">
      <c r="A15" s="12" t="s">
        <v>26</v>
      </c>
      <c r="B15" s="10"/>
      <c r="C15" s="10"/>
      <c r="D15" s="10"/>
      <c r="E15" s="27"/>
      <c r="F15" s="10">
        <v>1155700</v>
      </c>
      <c r="G15" s="10"/>
      <c r="H15" s="26">
        <f t="shared" si="17"/>
        <v>1155700</v>
      </c>
      <c r="I15" s="48"/>
      <c r="J15" s="48"/>
      <c r="K15" s="48"/>
      <c r="L15" s="48"/>
      <c r="M15" s="48"/>
      <c r="N15" s="48"/>
      <c r="O15" s="10">
        <v>1155700</v>
      </c>
      <c r="P15" s="10"/>
      <c r="Q15" s="10"/>
      <c r="R15" s="10"/>
      <c r="S15" s="5"/>
      <c r="T15" s="5"/>
      <c r="U15" s="26">
        <f t="shared" si="16"/>
        <v>1155700</v>
      </c>
      <c r="V15" s="24">
        <f t="shared" ref="V15:V18" si="19">U15-O15</f>
        <v>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s="4" customFormat="1" ht="15" x14ac:dyDescent="0.25">
      <c r="A16" s="12" t="s">
        <v>41</v>
      </c>
      <c r="B16" s="10"/>
      <c r="C16" s="10"/>
      <c r="D16" s="10"/>
      <c r="E16" s="27"/>
      <c r="F16" s="10"/>
      <c r="G16" s="10">
        <v>1449853</v>
      </c>
      <c r="H16" s="26">
        <f t="shared" si="17"/>
        <v>1449853</v>
      </c>
      <c r="I16" s="5"/>
      <c r="J16" s="5"/>
      <c r="K16" s="5"/>
      <c r="L16" s="5"/>
      <c r="M16" s="5"/>
      <c r="N16" s="5"/>
      <c r="O16" s="138">
        <v>1114156.2669230769</v>
      </c>
      <c r="P16" s="138">
        <v>117661.1473076923</v>
      </c>
      <c r="Q16" s="138">
        <v>118776.41884615384</v>
      </c>
      <c r="R16" s="138">
        <v>99259.166923076918</v>
      </c>
      <c r="S16" s="5"/>
      <c r="T16" s="5"/>
      <c r="U16" s="133">
        <f t="shared" si="16"/>
        <v>1449853</v>
      </c>
      <c r="V16" s="24">
        <f>U16-H16</f>
        <v>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s="4" customFormat="1" ht="30" x14ac:dyDescent="0.25">
      <c r="A17" s="12" t="s">
        <v>152</v>
      </c>
      <c r="B17" s="10"/>
      <c r="C17" s="10"/>
      <c r="D17" s="10"/>
      <c r="E17" s="27"/>
      <c r="F17" s="10"/>
      <c r="G17" s="138">
        <v>20915736</v>
      </c>
      <c r="H17" s="26">
        <f t="shared" si="17"/>
        <v>20915736</v>
      </c>
      <c r="I17" s="5"/>
      <c r="J17" s="5"/>
      <c r="K17" s="5"/>
      <c r="L17" s="5"/>
      <c r="M17" s="5"/>
      <c r="N17" s="5"/>
      <c r="O17" s="10">
        <v>20915736</v>
      </c>
      <c r="P17" s="10"/>
      <c r="Q17" s="10"/>
      <c r="R17" s="10"/>
      <c r="S17" s="5"/>
      <c r="T17" s="5"/>
      <c r="U17" s="26">
        <f t="shared" si="16"/>
        <v>20915736</v>
      </c>
      <c r="V17" s="24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s="4" customFormat="1" ht="15" x14ac:dyDescent="0.25">
      <c r="A18" s="18" t="s">
        <v>153</v>
      </c>
      <c r="B18" s="10"/>
      <c r="C18" s="10"/>
      <c r="D18" s="10"/>
      <c r="E18" s="138">
        <v>16100000</v>
      </c>
      <c r="F18" s="10"/>
      <c r="G18" s="10"/>
      <c r="H18" s="26">
        <f t="shared" si="17"/>
        <v>16100000</v>
      </c>
      <c r="I18" s="5"/>
      <c r="J18" s="5"/>
      <c r="K18" s="5"/>
      <c r="L18" s="5"/>
      <c r="M18" s="5"/>
      <c r="N18" s="5"/>
      <c r="O18" s="10">
        <v>16100000</v>
      </c>
      <c r="P18" s="10"/>
      <c r="Q18" s="10"/>
      <c r="R18" s="10"/>
      <c r="S18" s="10"/>
      <c r="T18" s="5"/>
      <c r="U18" s="26">
        <f t="shared" ref="U18" si="20">SUM(O18:T18)</f>
        <v>16100000</v>
      </c>
      <c r="V18" s="24">
        <f t="shared" si="19"/>
        <v>0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s="14" customFormat="1" ht="24.95" customHeight="1" x14ac:dyDescent="0.25">
      <c r="A19" s="31" t="s">
        <v>8</v>
      </c>
      <c r="B19" s="28">
        <f>SUM(B11:B18)</f>
        <v>193335545</v>
      </c>
      <c r="C19" s="28">
        <f>SUM(C12:C18)</f>
        <v>25898206.300000001</v>
      </c>
      <c r="D19" s="28">
        <f>SUM(D12:D18)</f>
        <v>0</v>
      </c>
      <c r="E19" s="28">
        <f>SUM(E13:E18)</f>
        <v>46982022</v>
      </c>
      <c r="F19" s="28">
        <f>SUM(F13:F18)</f>
        <v>1155700</v>
      </c>
      <c r="G19" s="28">
        <f>SUM(G2:G18)</f>
        <v>22365589</v>
      </c>
      <c r="H19" s="28">
        <f t="shared" si="17"/>
        <v>289737062.30000001</v>
      </c>
      <c r="I19" s="23"/>
      <c r="J19" s="23"/>
      <c r="K19" s="23"/>
      <c r="L19" s="23"/>
      <c r="M19" s="23"/>
      <c r="N19" s="23"/>
      <c r="O19" s="28">
        <f t="shared" ref="O19:T19" si="21">SUM(O11:O18)</f>
        <v>225390249.26692307</v>
      </c>
      <c r="P19" s="28">
        <f t="shared" si="21"/>
        <v>17627230.147307694</v>
      </c>
      <c r="Q19" s="47">
        <f t="shared" si="21"/>
        <v>17782324.418846153</v>
      </c>
      <c r="R19" s="47">
        <f t="shared" si="21"/>
        <v>14903204.166923078</v>
      </c>
      <c r="S19" s="28">
        <f t="shared" si="21"/>
        <v>7280991</v>
      </c>
      <c r="T19" s="28">
        <f t="shared" si="21"/>
        <v>6753063</v>
      </c>
      <c r="U19" s="28">
        <f>SUM(O19:T19)</f>
        <v>289737062</v>
      </c>
      <c r="V19" s="24">
        <f>SUM(O19:T19)</f>
        <v>289737062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s="4" customFormat="1" ht="24.95" customHeight="1" x14ac:dyDescent="0.25">
      <c r="A20" s="12"/>
      <c r="B20" s="9"/>
      <c r="C20" s="5"/>
      <c r="D20" s="137"/>
      <c r="E20"/>
      <c r="F20" s="5"/>
      <c r="G20" s="5"/>
      <c r="H20" s="5">
        <f>SUM(H11:H18)</f>
        <v>289737062.30000001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f>SUM(U11:U18)</f>
        <v>289737062</v>
      </c>
      <c r="V20" s="6"/>
      <c r="W20" s="6"/>
      <c r="X20" s="6"/>
      <c r="Y20" s="24">
        <f>H19-U19</f>
        <v>0.30000001192092896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24.95" customHeight="1" x14ac:dyDescent="0.25">
      <c r="H21" s="5"/>
      <c r="I21" s="5"/>
      <c r="J21" s="5"/>
      <c r="K21" s="5"/>
      <c r="L21" s="5"/>
      <c r="M21" s="5"/>
      <c r="N21" s="5"/>
      <c r="O21" s="52">
        <f>O19/U19</f>
        <v>0.77791307646697638</v>
      </c>
      <c r="P21" s="52">
        <f>P19/U19</f>
        <v>6.0838713644813913E-2</v>
      </c>
      <c r="Q21" s="52">
        <f>Q19/U19</f>
        <v>6.1374006818796803E-2</v>
      </c>
      <c r="R21" s="52">
        <f>R19/U19</f>
        <v>5.1436996233927015E-2</v>
      </c>
      <c r="S21" s="52">
        <f>S19/U19</f>
        <v>2.5129650137751449E-2</v>
      </c>
      <c r="T21" s="52">
        <f>T19/U19</f>
        <v>2.3307556697734443E-2</v>
      </c>
      <c r="U21" s="52">
        <f>SUM(O21:T21)</f>
        <v>1</v>
      </c>
    </row>
    <row r="22" spans="1:48" ht="24.95" customHeight="1" x14ac:dyDescent="0.25">
      <c r="H22" s="5"/>
      <c r="I22" s="5"/>
      <c r="J22" s="5"/>
      <c r="K22" s="5"/>
      <c r="L22" s="5"/>
      <c r="M22" s="5"/>
      <c r="N22" s="5"/>
    </row>
    <row r="23" spans="1:48" ht="24.95" customHeight="1" x14ac:dyDescent="0.25">
      <c r="I23" s="5"/>
      <c r="J23" s="5"/>
      <c r="K23" s="5"/>
      <c r="L23" s="5"/>
      <c r="M23" s="5"/>
      <c r="N23" s="5"/>
    </row>
    <row r="24" spans="1:48" ht="24.95" customHeight="1" x14ac:dyDescent="0.25">
      <c r="I24" s="5"/>
      <c r="J24" s="5"/>
      <c r="K24" s="5"/>
      <c r="L24" s="5"/>
      <c r="M24" s="5"/>
      <c r="N24" s="5"/>
      <c r="O24" s="5"/>
    </row>
    <row r="25" spans="1:48" ht="24.95" customHeight="1" x14ac:dyDescent="0.25">
      <c r="I25" s="5"/>
      <c r="J25" s="5"/>
      <c r="K25" s="5"/>
      <c r="L25" s="5"/>
      <c r="M25" s="5"/>
      <c r="N25" s="5"/>
    </row>
    <row r="26" spans="1:48" ht="24.95" customHeight="1" x14ac:dyDescent="0.25">
      <c r="I26" s="5"/>
      <c r="J26" s="5"/>
      <c r="K26" s="5"/>
      <c r="L26" s="5"/>
      <c r="M26" s="5"/>
      <c r="N26" s="5"/>
    </row>
    <row r="27" spans="1:48" ht="24.95" customHeight="1" x14ac:dyDescent="0.25">
      <c r="I27" s="5"/>
      <c r="J27" s="5"/>
      <c r="K27" s="5"/>
      <c r="L27" s="5"/>
      <c r="M27" s="5"/>
      <c r="N27" s="5"/>
    </row>
    <row r="28" spans="1:48" ht="24.95" customHeight="1" x14ac:dyDescent="0.25">
      <c r="I28" s="5"/>
      <c r="J28" s="5"/>
      <c r="K28" s="5"/>
      <c r="L28" s="5"/>
      <c r="M28" s="5"/>
      <c r="N28" s="5"/>
    </row>
    <row r="29" spans="1:48" ht="24.95" customHeight="1" x14ac:dyDescent="0.25">
      <c r="I29" s="5"/>
      <c r="J29" s="5"/>
      <c r="K29" s="5"/>
      <c r="L29" s="5"/>
      <c r="M29" s="5"/>
      <c r="N29" s="5"/>
    </row>
  </sheetData>
  <sortState xmlns:xlrd2="http://schemas.microsoft.com/office/spreadsheetml/2017/richdata2" ref="A6:AV7">
    <sortCondition ref="A6:A7"/>
  </sortState>
  <printOptions horizontalCentered="1"/>
  <pageMargins left="0.31496062992125984" right="0.31496062992125984" top="0.74803149606299213" bottom="0.74803149606299213" header="0.31496062992125984" footer="0.31496062992125984"/>
  <pageSetup paperSize="9" scale="51" orientation="landscape" r:id="rId1"/>
  <headerFooter>
    <oddHeader>&amp;LBátaszéki Közös Önkormányzati Hivatal&amp;C2024. évi költségvetési terv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39"/>
  <sheetViews>
    <sheetView tabSelected="1" zoomScaleNormal="100" workbookViewId="0">
      <selection activeCell="M26" sqref="M26"/>
    </sheetView>
  </sheetViews>
  <sheetFormatPr defaultColWidth="8.85546875" defaultRowHeight="15" x14ac:dyDescent="0.25"/>
  <cols>
    <col min="1" max="1" width="28.5703125" style="1" bestFit="1" customWidth="1"/>
    <col min="2" max="2" width="11.140625" style="1" bestFit="1" customWidth="1"/>
    <col min="3" max="3" width="13.7109375" style="4" customWidth="1"/>
    <col min="4" max="4" width="11" style="4" customWidth="1"/>
    <col min="5" max="5" width="12.28515625" style="4" customWidth="1"/>
    <col min="6" max="7" width="12.5703125" style="4" customWidth="1"/>
    <col min="8" max="8" width="15.85546875" style="4" bestFit="1" customWidth="1"/>
    <col min="9" max="9" width="15.28515625" style="4" customWidth="1"/>
    <col min="10" max="10" width="12" style="4" bestFit="1" customWidth="1"/>
    <col min="11" max="11" width="12" style="4" customWidth="1"/>
    <col min="12" max="12" width="13.28515625" style="4" customWidth="1"/>
    <col min="13" max="13" width="10" style="4" customWidth="1"/>
    <col min="14" max="14" width="15.140625" style="4" bestFit="1" customWidth="1"/>
    <col min="15" max="15" width="13" style="2" customWidth="1"/>
    <col min="16" max="16" width="20.140625" style="2" customWidth="1"/>
    <col min="17" max="17" width="19.85546875" style="2" customWidth="1"/>
    <col min="18" max="18" width="10.140625" style="2" bestFit="1" customWidth="1"/>
    <col min="19" max="19" width="8.85546875" style="2"/>
    <col min="20" max="20" width="12.140625" style="2" bestFit="1" customWidth="1"/>
    <col min="21" max="43" width="8.85546875" style="2"/>
    <col min="44" max="16384" width="8.85546875" style="1"/>
  </cols>
  <sheetData>
    <row r="1" spans="1:43" ht="47.25" customHeight="1" x14ac:dyDescent="0.25">
      <c r="A1" s="129" t="s">
        <v>9</v>
      </c>
      <c r="B1" s="129" t="s">
        <v>7</v>
      </c>
      <c r="C1" s="128" t="s">
        <v>0</v>
      </c>
      <c r="D1" s="130" t="s">
        <v>4</v>
      </c>
      <c r="E1" s="130" t="s">
        <v>5</v>
      </c>
      <c r="F1" s="130" t="s">
        <v>6</v>
      </c>
      <c r="G1" s="130" t="s">
        <v>46</v>
      </c>
      <c r="H1" s="128" t="s">
        <v>1</v>
      </c>
      <c r="I1" s="128" t="s">
        <v>2</v>
      </c>
      <c r="J1" s="128" t="s">
        <v>3</v>
      </c>
      <c r="K1" s="128" t="s">
        <v>45</v>
      </c>
      <c r="L1" s="130" t="s">
        <v>47</v>
      </c>
      <c r="M1" s="130" t="s">
        <v>48</v>
      </c>
      <c r="N1" s="128" t="s">
        <v>8</v>
      </c>
      <c r="P1" s="30"/>
      <c r="Q1" s="30"/>
      <c r="R1" s="30"/>
    </row>
    <row r="2" spans="1:43" s="37" customFormat="1" ht="28.5" customHeight="1" x14ac:dyDescent="0.25">
      <c r="A2" s="3" t="s">
        <v>10</v>
      </c>
      <c r="B2" s="37">
        <v>26</v>
      </c>
      <c r="C2" s="26">
        <v>179172578</v>
      </c>
      <c r="D2" s="38">
        <v>19.98</v>
      </c>
      <c r="E2" s="38">
        <v>2.11</v>
      </c>
      <c r="F2" s="38">
        <v>2.13</v>
      </c>
      <c r="G2" s="38">
        <v>1.78</v>
      </c>
      <c r="H2" s="26">
        <f>+ROUND($C$2*D3,0)+8281</f>
        <v>137695516</v>
      </c>
      <c r="I2" s="26">
        <f>+ROUND($C$2*E3,0)-30975</f>
        <v>14509569</v>
      </c>
      <c r="J2" s="26">
        <f>+ROUND($C$2*F3,0)-14821</f>
        <v>14663548</v>
      </c>
      <c r="K2" s="26">
        <f>+ROUND($C$2*G3,0)+37515</f>
        <v>12303945</v>
      </c>
      <c r="L2" s="10"/>
      <c r="M2" s="26"/>
      <c r="N2" s="26">
        <f>SUM(H2:M2)</f>
        <v>179172578</v>
      </c>
      <c r="O2" s="135">
        <f>N2+H11+H12</f>
        <v>242467737</v>
      </c>
      <c r="P2" s="135"/>
      <c r="Q2" s="49"/>
      <c r="R2" s="49"/>
      <c r="S2" s="55"/>
      <c r="T2" s="4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s="37" customFormat="1" ht="28.5" customHeight="1" x14ac:dyDescent="0.25">
      <c r="A3" s="3"/>
      <c r="B3" s="56">
        <v>1</v>
      </c>
      <c r="C3" s="56"/>
      <c r="D3" s="50">
        <f>D2/B2</f>
        <v>0.76846153846153853</v>
      </c>
      <c r="E3" s="50">
        <f>E2/B2</f>
        <v>8.1153846153846146E-2</v>
      </c>
      <c r="F3" s="50">
        <f>F2/B2</f>
        <v>8.1923076923076918E-2</v>
      </c>
      <c r="G3" s="50">
        <f>G2/B2</f>
        <v>6.8461538461538463E-2</v>
      </c>
      <c r="H3" s="26"/>
      <c r="I3" s="26"/>
      <c r="J3" s="26"/>
      <c r="K3" s="26"/>
      <c r="L3" s="26"/>
      <c r="M3" s="26"/>
      <c r="N3" s="26"/>
      <c r="O3" s="8"/>
      <c r="P3" s="49"/>
      <c r="Q3" s="49"/>
      <c r="R3" s="49"/>
      <c r="S3" s="55"/>
      <c r="T3" s="49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33" customFormat="1" x14ac:dyDescent="0.25">
      <c r="A4" s="39" t="s">
        <v>25</v>
      </c>
      <c r="C4" s="26">
        <v>1449853</v>
      </c>
      <c r="D4" s="50">
        <f>D3/B3</f>
        <v>0.76846153846153853</v>
      </c>
      <c r="E4" s="50">
        <f>E3/B3</f>
        <v>8.1153846153846146E-2</v>
      </c>
      <c r="F4" s="50">
        <f>F3/B3</f>
        <v>8.1923076923076918E-2</v>
      </c>
      <c r="G4" s="50">
        <f>G3/B3</f>
        <v>6.8461538461538463E-2</v>
      </c>
      <c r="H4" s="26">
        <f>C4*D4</f>
        <v>1114156.2669230769</v>
      </c>
      <c r="I4" s="26">
        <f>C4*E4</f>
        <v>117661.1473076923</v>
      </c>
      <c r="J4" s="26">
        <f>C4*F4</f>
        <v>118776.41884615384</v>
      </c>
      <c r="K4" s="26">
        <f>C4*G4</f>
        <v>99259.166923076918</v>
      </c>
      <c r="L4" s="26"/>
      <c r="M4" s="26"/>
      <c r="N4" s="26">
        <f>SUM(H4:M4)</f>
        <v>1449853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s="4" customFormat="1" x14ac:dyDescent="0.25">
      <c r="A5" s="18" t="s">
        <v>147</v>
      </c>
      <c r="B5" s="10"/>
      <c r="C5" s="10">
        <v>20665527</v>
      </c>
      <c r="D5" s="10"/>
      <c r="E5" s="5"/>
      <c r="F5" s="5"/>
      <c r="G5" s="5"/>
      <c r="H5" s="10">
        <v>20665527</v>
      </c>
      <c r="I5" s="10"/>
      <c r="J5" s="10"/>
      <c r="K5" s="10"/>
      <c r="L5" s="10"/>
      <c r="M5" s="5"/>
      <c r="N5" s="26">
        <f t="shared" ref="N5:N10" si="0">SUM(H5:M5)</f>
        <v>20665527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4" customFormat="1" x14ac:dyDescent="0.25">
      <c r="A6" s="18" t="s">
        <v>146</v>
      </c>
      <c r="B6" s="10"/>
      <c r="C6" s="10">
        <v>250209</v>
      </c>
      <c r="D6" s="10"/>
      <c r="E6" s="5"/>
      <c r="F6" s="5"/>
      <c r="G6" s="5"/>
      <c r="H6" s="10">
        <v>250209</v>
      </c>
      <c r="I6" s="10"/>
      <c r="J6" s="10"/>
      <c r="K6" s="10"/>
      <c r="L6" s="10"/>
      <c r="M6" s="5"/>
      <c r="N6" s="26">
        <f t="shared" si="0"/>
        <v>250209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4" customFormat="1" x14ac:dyDescent="0.25">
      <c r="A7" s="18" t="s">
        <v>11</v>
      </c>
      <c r="B7" s="10"/>
      <c r="C7" s="54">
        <v>150000</v>
      </c>
      <c r="D7" s="10"/>
      <c r="E7" s="5"/>
      <c r="F7" s="5"/>
      <c r="G7" s="5"/>
      <c r="H7" s="10">
        <v>150000</v>
      </c>
      <c r="I7" s="10"/>
      <c r="J7" s="10"/>
      <c r="K7" s="10"/>
      <c r="L7" s="10"/>
      <c r="M7" s="5"/>
      <c r="N7" s="26">
        <f t="shared" si="0"/>
        <v>150000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4" customFormat="1" x14ac:dyDescent="0.25">
      <c r="A8" s="18" t="s">
        <v>12</v>
      </c>
      <c r="B8" s="10"/>
      <c r="C8" s="54">
        <v>1410000</v>
      </c>
      <c r="D8" s="10"/>
      <c r="E8" s="5"/>
      <c r="F8" s="5"/>
      <c r="G8" s="5"/>
      <c r="H8" s="10">
        <v>1410000</v>
      </c>
      <c r="I8" s="5"/>
      <c r="J8" s="5"/>
      <c r="K8" s="5"/>
      <c r="L8" s="5"/>
      <c r="M8" s="5"/>
      <c r="N8" s="26">
        <f t="shared" si="0"/>
        <v>1410000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4" customFormat="1" x14ac:dyDescent="0.25">
      <c r="A9" s="18" t="s">
        <v>13</v>
      </c>
      <c r="B9" s="10"/>
      <c r="C9" s="54">
        <v>421200</v>
      </c>
      <c r="D9" s="10"/>
      <c r="E9" s="5"/>
      <c r="F9" s="5"/>
      <c r="G9" s="5"/>
      <c r="H9" s="10">
        <v>421200</v>
      </c>
      <c r="I9" s="5"/>
      <c r="J9" s="5"/>
      <c r="K9" s="5"/>
      <c r="L9" s="5"/>
      <c r="M9" s="5"/>
      <c r="N9" s="26">
        <f t="shared" si="0"/>
        <v>421200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4" customFormat="1" x14ac:dyDescent="0.25">
      <c r="A10" s="18" t="s">
        <v>27</v>
      </c>
      <c r="B10" s="10"/>
      <c r="C10" s="54">
        <v>388482</v>
      </c>
      <c r="D10" s="10"/>
      <c r="E10" s="5"/>
      <c r="F10" s="5"/>
      <c r="G10" s="5"/>
      <c r="H10" s="10">
        <v>388482</v>
      </c>
      <c r="I10" s="5"/>
      <c r="J10" s="5"/>
      <c r="K10" s="5"/>
      <c r="L10" s="5"/>
      <c r="M10" s="5"/>
      <c r="N10" s="26">
        <f t="shared" si="0"/>
        <v>388482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4" customFormat="1" ht="26.25" x14ac:dyDescent="0.25">
      <c r="A11" s="19" t="s">
        <v>28</v>
      </c>
      <c r="B11" s="10"/>
      <c r="C11" s="10"/>
      <c r="D11" s="5"/>
      <c r="E11" s="5"/>
      <c r="F11" s="5"/>
      <c r="G11" s="5"/>
      <c r="H11" s="127">
        <v>60295159</v>
      </c>
      <c r="I11" s="127">
        <v>2000000</v>
      </c>
      <c r="J11" s="127">
        <v>2000000</v>
      </c>
      <c r="K11" s="127">
        <v>1500000</v>
      </c>
      <c r="L11" s="10"/>
      <c r="M11" s="10"/>
      <c r="N11" s="26">
        <f>SUM(H11:M11)</f>
        <v>65795159</v>
      </c>
      <c r="O11" s="6"/>
      <c r="P11" s="134">
        <f>SUM(I11:K11)</f>
        <v>5500000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4" customFormat="1" x14ac:dyDescent="0.25">
      <c r="A12" s="19" t="s">
        <v>150</v>
      </c>
      <c r="B12" s="10"/>
      <c r="C12" s="10"/>
      <c r="D12" s="5"/>
      <c r="E12" s="5"/>
      <c r="F12" s="5"/>
      <c r="G12" s="5"/>
      <c r="H12" s="127">
        <v>3000000</v>
      </c>
      <c r="I12" s="127">
        <v>1000000</v>
      </c>
      <c r="J12" s="127">
        <v>1000000</v>
      </c>
      <c r="K12" s="127">
        <v>1000000</v>
      </c>
      <c r="L12" s="5"/>
      <c r="M12" s="5"/>
      <c r="N12" s="26">
        <f>SUM(H12:M12)</f>
        <v>6000000</v>
      </c>
      <c r="O12" s="6"/>
      <c r="P12" s="134">
        <f>SUM(I12:K12)</f>
        <v>3000000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4" customFormat="1" ht="26.25" x14ac:dyDescent="0.25">
      <c r="A13" s="19" t="s">
        <v>30</v>
      </c>
      <c r="B13" s="10"/>
      <c r="C13" s="10"/>
      <c r="D13" s="5"/>
      <c r="E13" s="5"/>
      <c r="F13" s="5"/>
      <c r="G13" s="5"/>
      <c r="H13" s="5"/>
      <c r="I13" s="5"/>
      <c r="J13" s="5"/>
      <c r="K13" s="5"/>
      <c r="L13" s="10">
        <v>7280991</v>
      </c>
      <c r="M13" s="10">
        <v>6753063</v>
      </c>
      <c r="N13" s="26">
        <f>SUM(H13:M13)</f>
        <v>14034054</v>
      </c>
      <c r="O13" s="6"/>
      <c r="P13" s="24">
        <f>N13</f>
        <v>14034054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9" customFormat="1" ht="26.25" x14ac:dyDescent="0.25">
      <c r="A14" s="39" t="s">
        <v>31</v>
      </c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6">
        <f>SUM(H14:K14)</f>
        <v>0</v>
      </c>
      <c r="O14" s="11">
        <v>14661176</v>
      </c>
      <c r="P14" s="27">
        <f>SUM(P11:P13)</f>
        <v>22534054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41" customFormat="1" x14ac:dyDescent="0.25">
      <c r="A15" s="21" t="s">
        <v>14</v>
      </c>
      <c r="B15" s="20"/>
      <c r="C15" s="40"/>
      <c r="D15" s="40"/>
      <c r="E15" s="40"/>
      <c r="F15" s="40"/>
      <c r="G15" s="40"/>
      <c r="H15" s="40">
        <f>SUM(H2:H14)</f>
        <v>225390249.26692307</v>
      </c>
      <c r="I15" s="40">
        <f t="shared" ref="I15:M15" si="1">SUM(I2:I14)</f>
        <v>17627230.147307694</v>
      </c>
      <c r="J15" s="40">
        <f t="shared" si="1"/>
        <v>17782324.418846153</v>
      </c>
      <c r="K15" s="40">
        <f t="shared" si="1"/>
        <v>14903204.166923078</v>
      </c>
      <c r="L15" s="40">
        <f t="shared" si="1"/>
        <v>7280991</v>
      </c>
      <c r="M15" s="40">
        <f t="shared" si="1"/>
        <v>6753063</v>
      </c>
      <c r="N15" s="40">
        <f>SUM(N2:N10)+N11+N13+N12</f>
        <v>289737062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s="13" customFormat="1" x14ac:dyDescent="0.25">
      <c r="A16" s="35"/>
      <c r="C16" s="36"/>
      <c r="D16" s="36"/>
      <c r="E16" s="36"/>
      <c r="F16" s="36"/>
      <c r="G16" s="36"/>
      <c r="H16" s="36"/>
      <c r="I16" s="36"/>
      <c r="J16" s="36"/>
      <c r="K16" s="36"/>
      <c r="L16" s="42"/>
      <c r="M16" s="42"/>
      <c r="N16" s="36">
        <f>SUM(H16:K16)</f>
        <v>0</v>
      </c>
      <c r="O16" s="13">
        <v>41847600</v>
      </c>
    </row>
    <row r="17" spans="1:43" s="9" customFormat="1" ht="28.5" customHeight="1" x14ac:dyDescent="0.25">
      <c r="A17" s="43" t="s">
        <v>32</v>
      </c>
      <c r="B17" s="34"/>
      <c r="C17" s="44"/>
      <c r="D17" s="45"/>
      <c r="E17" s="45"/>
      <c r="F17" s="45"/>
      <c r="G17" s="45"/>
      <c r="H17" s="16">
        <f>'1.mell.Kiadások'!O19</f>
        <v>225390249.26692307</v>
      </c>
      <c r="I17" s="16">
        <f>'1.mell.Kiadások'!P19</f>
        <v>17627230.147307694</v>
      </c>
      <c r="J17" s="16">
        <f>'1.mell.Kiadások'!Q19</f>
        <v>17782324.418846153</v>
      </c>
      <c r="K17" s="16">
        <f>'1.mell.Kiadások'!R19</f>
        <v>14903204.166923078</v>
      </c>
      <c r="L17" s="16">
        <f>'1.mell.Kiadások'!S19</f>
        <v>7280991</v>
      </c>
      <c r="M17" s="16">
        <f>'1.mell.Kiadások'!T19</f>
        <v>6753063</v>
      </c>
      <c r="N17" s="16">
        <f>SUM(H17:M17)</f>
        <v>289737062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s="11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</row>
    <row r="19" spans="1:43" s="2" customFormat="1" x14ac:dyDescent="0.25">
      <c r="C19" s="24"/>
      <c r="D19" s="24"/>
      <c r="E19" s="24"/>
      <c r="F19" s="24"/>
      <c r="G19" s="24"/>
      <c r="H19" s="24">
        <f>H15-H17</f>
        <v>0</v>
      </c>
      <c r="I19" s="24">
        <f>I15-I17</f>
        <v>0</v>
      </c>
      <c r="J19" s="24">
        <f>J15-J17</f>
        <v>0</v>
      </c>
      <c r="K19" s="24">
        <f>K15-K17</f>
        <v>0</v>
      </c>
      <c r="L19" s="6"/>
      <c r="M19" s="6"/>
      <c r="N19" s="24">
        <f>N15-N17</f>
        <v>0</v>
      </c>
    </row>
    <row r="20" spans="1:43" s="8" customFormat="1" x14ac:dyDescent="0.25">
      <c r="C20" s="25"/>
      <c r="D20" s="25"/>
      <c r="E20" s="25"/>
      <c r="F20" s="25"/>
      <c r="G20" s="25"/>
      <c r="H20" s="25">
        <f>SUM(H17:H19)</f>
        <v>225390249.26692307</v>
      </c>
      <c r="I20" s="25"/>
      <c r="J20" s="25"/>
      <c r="K20" s="25"/>
      <c r="L20" s="25"/>
      <c r="M20" s="25"/>
      <c r="N20" s="25"/>
    </row>
    <row r="21" spans="1:43" s="2" customFormat="1" x14ac:dyDescent="0.25">
      <c r="C21" s="24"/>
      <c r="D21" s="24"/>
      <c r="E21" s="24"/>
      <c r="F21" s="24"/>
      <c r="G21" s="24"/>
      <c r="H21" s="24"/>
      <c r="I21" s="24"/>
      <c r="J21" s="24"/>
      <c r="K21" s="24"/>
      <c r="L21" s="6"/>
      <c r="M21" s="6"/>
      <c r="N21" s="6"/>
    </row>
    <row r="22" spans="1:43" s="2" customFormat="1" x14ac:dyDescent="0.25">
      <c r="C22" s="24"/>
      <c r="D22" s="24"/>
      <c r="E22" s="24"/>
      <c r="F22" s="24"/>
      <c r="G22" s="24"/>
      <c r="H22" s="51">
        <f>H15/N15</f>
        <v>0.77791307646697638</v>
      </c>
      <c r="I22" s="51">
        <f>I15/N15</f>
        <v>6.0838713644813913E-2</v>
      </c>
      <c r="J22" s="51">
        <f>J15/N15</f>
        <v>6.1374006818796803E-2</v>
      </c>
      <c r="K22" s="51">
        <f>K15/N15</f>
        <v>5.1436996233927015E-2</v>
      </c>
      <c r="L22" s="51">
        <f>L15/N15</f>
        <v>2.5129650137751449E-2</v>
      </c>
      <c r="M22" s="51">
        <f>M15/N15</f>
        <v>2.3307556697734443E-2</v>
      </c>
      <c r="N22" s="51">
        <f>SUM(H22:M22)</f>
        <v>1</v>
      </c>
    </row>
    <row r="23" spans="1:43" s="2" customFormat="1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6"/>
      <c r="M23" s="6"/>
      <c r="N23" s="6"/>
    </row>
    <row r="24" spans="1:43" s="2" customFormat="1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6"/>
      <c r="M24" s="6"/>
      <c r="N24" s="6"/>
    </row>
    <row r="25" spans="1:43" s="2" customFormat="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6"/>
      <c r="M25" s="6"/>
      <c r="N25" s="6"/>
    </row>
    <row r="26" spans="1:43" x14ac:dyDescent="0.25">
      <c r="C26" s="5"/>
      <c r="D26" s="5"/>
      <c r="E26" s="5"/>
      <c r="F26" s="5"/>
      <c r="G26" s="5"/>
      <c r="H26" s="5"/>
      <c r="I26" s="5"/>
      <c r="J26" s="5"/>
      <c r="K26" s="5"/>
    </row>
    <row r="27" spans="1:43" x14ac:dyDescent="0.25">
      <c r="C27" s="5"/>
      <c r="D27" s="5"/>
      <c r="E27" s="5"/>
      <c r="F27" s="5"/>
      <c r="G27" s="5"/>
      <c r="H27" s="5"/>
      <c r="I27" s="5"/>
      <c r="J27" s="5"/>
      <c r="K27" s="5"/>
    </row>
    <row r="28" spans="1:43" x14ac:dyDescent="0.25">
      <c r="C28" s="5"/>
      <c r="D28" s="5"/>
      <c r="E28" s="5"/>
      <c r="F28" s="5"/>
      <c r="G28" s="5"/>
      <c r="H28" s="5"/>
      <c r="I28" s="5"/>
      <c r="J28" s="5"/>
      <c r="K28" s="5"/>
    </row>
    <row r="29" spans="1:43" x14ac:dyDescent="0.25">
      <c r="C29" s="5"/>
      <c r="D29" s="5"/>
      <c r="E29" s="5"/>
      <c r="F29" s="5"/>
      <c r="G29" s="5"/>
      <c r="H29" s="5"/>
      <c r="I29" s="5"/>
      <c r="J29" s="5"/>
      <c r="K29" s="5"/>
    </row>
    <row r="30" spans="1:43" x14ac:dyDescent="0.25">
      <c r="C30" s="5"/>
      <c r="D30" s="5"/>
      <c r="E30" s="5"/>
      <c r="F30" s="5"/>
      <c r="G30" s="5"/>
      <c r="H30" s="5"/>
      <c r="I30" s="5"/>
      <c r="J30" s="5"/>
      <c r="K30" s="5"/>
    </row>
    <row r="31" spans="1:43" x14ac:dyDescent="0.25">
      <c r="C31" s="5"/>
      <c r="D31" s="5"/>
      <c r="E31" s="5"/>
      <c r="F31" s="5"/>
      <c r="G31" s="5"/>
      <c r="H31" s="5"/>
      <c r="I31" s="5"/>
      <c r="J31" s="5"/>
      <c r="K31" s="5"/>
    </row>
    <row r="32" spans="1:43" x14ac:dyDescent="0.25">
      <c r="C32" s="5"/>
      <c r="D32" s="5"/>
      <c r="E32" s="5"/>
      <c r="F32" s="5"/>
      <c r="G32" s="5"/>
      <c r="H32" s="5"/>
      <c r="I32" s="5"/>
      <c r="J32" s="5"/>
      <c r="K32" s="5"/>
    </row>
    <row r="33" spans="3:11" x14ac:dyDescent="0.25">
      <c r="C33" s="5"/>
      <c r="D33" s="5"/>
      <c r="E33" s="5"/>
      <c r="F33" s="5"/>
      <c r="G33" s="5"/>
      <c r="H33" s="5"/>
      <c r="I33" s="5"/>
      <c r="J33" s="5"/>
      <c r="K33" s="5"/>
    </row>
    <row r="34" spans="3:11" x14ac:dyDescent="0.25">
      <c r="C34" s="5"/>
      <c r="D34" s="5"/>
      <c r="E34" s="5"/>
      <c r="F34" s="5"/>
      <c r="G34" s="5"/>
      <c r="H34" s="5"/>
      <c r="I34" s="5"/>
      <c r="J34" s="5"/>
      <c r="K34" s="5"/>
    </row>
    <row r="35" spans="3:11" x14ac:dyDescent="0.25">
      <c r="C35" s="5"/>
      <c r="D35" s="5"/>
      <c r="E35" s="5"/>
      <c r="F35" s="5"/>
      <c r="G35" s="5"/>
      <c r="H35" s="5"/>
      <c r="I35" s="5"/>
      <c r="J35" s="5"/>
      <c r="K35" s="5"/>
    </row>
    <row r="36" spans="3:11" x14ac:dyDescent="0.25">
      <c r="C36" s="5"/>
      <c r="D36" s="5"/>
      <c r="E36" s="5"/>
      <c r="F36" s="5"/>
      <c r="G36" s="5"/>
      <c r="H36" s="5"/>
      <c r="I36" s="5"/>
      <c r="J36" s="5"/>
      <c r="K36" s="5"/>
    </row>
    <row r="37" spans="3:11" x14ac:dyDescent="0.25">
      <c r="C37" s="5"/>
      <c r="D37" s="5"/>
      <c r="E37" s="5"/>
      <c r="F37" s="5"/>
      <c r="G37" s="5"/>
      <c r="H37" s="5"/>
      <c r="I37" s="5"/>
      <c r="J37" s="5"/>
      <c r="K37" s="5"/>
    </row>
    <row r="38" spans="3:11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3:11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&amp;LBátaszéki Közös Önkormányzati Hivatal&amp;C2024. évi költségvetési terv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0"/>
  <sheetViews>
    <sheetView zoomScaleNormal="100" workbookViewId="0">
      <selection activeCell="E3" sqref="E3"/>
    </sheetView>
  </sheetViews>
  <sheetFormatPr defaultColWidth="9.140625" defaultRowHeight="12.75" x14ac:dyDescent="0.2"/>
  <cols>
    <col min="1" max="4" width="9.140625" style="131"/>
    <col min="5" max="5" width="19.7109375" style="131" bestFit="1" customWidth="1"/>
    <col min="6" max="16384" width="9.140625" style="131"/>
  </cols>
  <sheetData>
    <row r="2" spans="2:8" ht="38.25" x14ac:dyDescent="0.2">
      <c r="B2" s="131" t="s">
        <v>148</v>
      </c>
      <c r="E2" s="131" t="s">
        <v>155</v>
      </c>
      <c r="G2" s="139" t="s">
        <v>154</v>
      </c>
    </row>
    <row r="3" spans="2:8" x14ac:dyDescent="0.2">
      <c r="B3" s="131" t="s">
        <v>1</v>
      </c>
      <c r="D3" s="131">
        <v>6299</v>
      </c>
      <c r="E3" s="132">
        <f>D3/D7*100</f>
        <v>75.736443429121081</v>
      </c>
      <c r="F3" s="131">
        <v>26</v>
      </c>
      <c r="G3" s="132">
        <f>E3*F3/100</f>
        <v>19.691475291571479</v>
      </c>
      <c r="H3" s="131">
        <v>75.585004775549194</v>
      </c>
    </row>
    <row r="4" spans="2:8" x14ac:dyDescent="0.2">
      <c r="B4" s="131" t="s">
        <v>2</v>
      </c>
      <c r="D4" s="131">
        <v>707</v>
      </c>
      <c r="E4" s="132">
        <f>D4/D7*100</f>
        <v>8.5006612961404358</v>
      </c>
      <c r="F4" s="131">
        <v>26</v>
      </c>
      <c r="G4" s="132">
        <f t="shared" ref="G4:G6" si="0">E4*F4/100</f>
        <v>2.2101719369965132</v>
      </c>
      <c r="H4" s="131">
        <v>8.6437440305635143</v>
      </c>
    </row>
    <row r="5" spans="2:8" x14ac:dyDescent="0.2">
      <c r="B5" s="131" t="s">
        <v>3</v>
      </c>
      <c r="D5" s="131">
        <v>713</v>
      </c>
      <c r="E5" s="132">
        <f>D5/D7*100</f>
        <v>8.5728026932788257</v>
      </c>
      <c r="F5" s="131">
        <v>26</v>
      </c>
      <c r="G5" s="132">
        <f t="shared" si="0"/>
        <v>2.2289287002524945</v>
      </c>
      <c r="H5" s="131">
        <v>8.4765998089780332</v>
      </c>
    </row>
    <row r="6" spans="2:8" x14ac:dyDescent="0.2">
      <c r="B6" s="131" t="s">
        <v>45</v>
      </c>
      <c r="D6" s="131">
        <v>598</v>
      </c>
      <c r="E6" s="132">
        <f>D6/D7*100</f>
        <v>7.1900925814596599</v>
      </c>
      <c r="F6" s="131">
        <v>26</v>
      </c>
      <c r="G6" s="132">
        <f t="shared" si="0"/>
        <v>1.8694240711795116</v>
      </c>
      <c r="H6" s="131">
        <v>7.2946513849092645</v>
      </c>
    </row>
    <row r="7" spans="2:8" x14ac:dyDescent="0.2">
      <c r="B7" s="131" t="s">
        <v>8</v>
      </c>
      <c r="D7" s="131">
        <f>SUM(D3:D6)</f>
        <v>8317</v>
      </c>
      <c r="E7" s="132">
        <f>SUM(E3:E6)</f>
        <v>100.00000000000001</v>
      </c>
      <c r="G7" s="132">
        <f>SUM(G3:G6)</f>
        <v>26</v>
      </c>
      <c r="H7" s="131">
        <f>SUM(H3:H6)</f>
        <v>100</v>
      </c>
    </row>
    <row r="9" spans="2:8" x14ac:dyDescent="0.2">
      <c r="B9" s="131" t="s">
        <v>144</v>
      </c>
    </row>
    <row r="10" spans="2:8" x14ac:dyDescent="0.2">
      <c r="B10" s="131" t="s">
        <v>1</v>
      </c>
      <c r="D10" s="131">
        <v>6.38</v>
      </c>
      <c r="E10" s="132">
        <f>D10*E3/100</f>
        <v>4.8319850907779252</v>
      </c>
    </row>
    <row r="11" spans="2:8" x14ac:dyDescent="0.2">
      <c r="B11" s="131" t="s">
        <v>2</v>
      </c>
      <c r="D11" s="131">
        <v>6.38</v>
      </c>
      <c r="E11" s="132">
        <f t="shared" ref="E11:E13" si="1">D11*E4/100</f>
        <v>0.54234219069375977</v>
      </c>
    </row>
    <row r="12" spans="2:8" x14ac:dyDescent="0.2">
      <c r="B12" s="131" t="s">
        <v>3</v>
      </c>
      <c r="D12" s="131">
        <v>6.38</v>
      </c>
      <c r="E12" s="132">
        <f t="shared" si="1"/>
        <v>0.54694481183118915</v>
      </c>
    </row>
    <row r="13" spans="2:8" x14ac:dyDescent="0.2">
      <c r="B13" s="131" t="s">
        <v>45</v>
      </c>
      <c r="D13" s="131">
        <v>6.38</v>
      </c>
      <c r="E13" s="132">
        <f t="shared" si="1"/>
        <v>0.45872790669712626</v>
      </c>
    </row>
    <row r="14" spans="2:8" x14ac:dyDescent="0.2">
      <c r="B14" s="131" t="s">
        <v>8</v>
      </c>
      <c r="E14" s="132">
        <f>SUM(E10:E13)</f>
        <v>6.38</v>
      </c>
    </row>
    <row r="15" spans="2:8" x14ac:dyDescent="0.2">
      <c r="E15" s="132"/>
    </row>
    <row r="16" spans="2:8" x14ac:dyDescent="0.2">
      <c r="B16" s="131" t="s">
        <v>145</v>
      </c>
    </row>
    <row r="17" spans="2:5" x14ac:dyDescent="0.2">
      <c r="B17" s="131" t="s">
        <v>1</v>
      </c>
      <c r="E17" s="132">
        <f>E3-E10</f>
        <v>70.904458338343161</v>
      </c>
    </row>
    <row r="18" spans="2:5" x14ac:dyDescent="0.2">
      <c r="B18" s="131" t="s">
        <v>2</v>
      </c>
      <c r="E18" s="132">
        <f>E4-E11</f>
        <v>7.9583191054466758</v>
      </c>
    </row>
    <row r="19" spans="2:5" x14ac:dyDescent="0.2">
      <c r="B19" s="131" t="s">
        <v>3</v>
      </c>
      <c r="E19" s="132">
        <f>E5-E12</f>
        <v>8.0258578814476369</v>
      </c>
    </row>
    <row r="20" spans="2:5" x14ac:dyDescent="0.2">
      <c r="B20" s="131" t="s">
        <v>45</v>
      </c>
      <c r="E20" s="132">
        <f>E6-E13</f>
        <v>6.731364674762534</v>
      </c>
    </row>
  </sheetData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Költségvetés</vt:lpstr>
      <vt:lpstr>1.mell.Kiadások</vt:lpstr>
      <vt:lpstr>2.mell.Bevételek</vt:lpstr>
      <vt:lpstr>Arányszámok</vt:lpstr>
      <vt:lpstr>'1.mell.Kiadások'!Nyomtatási_terület</vt:lpstr>
      <vt:lpstr>'2.mell.Bevételek'!Nyomtatási_terület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Pénzügy1</dc:creator>
  <cp:lastModifiedBy>Gábor Zeyer</cp:lastModifiedBy>
  <cp:lastPrinted>2024-01-24T07:15:41Z</cp:lastPrinted>
  <dcterms:created xsi:type="dcterms:W3CDTF">2014-11-10T08:15:58Z</dcterms:created>
  <dcterms:modified xsi:type="dcterms:W3CDTF">2024-01-25T08:36:22Z</dcterms:modified>
</cp:coreProperties>
</file>