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954" firstSheet="1" activeTab="13"/>
  </bookViews>
  <sheets>
    <sheet name="ALAPADATOK" sheetId="1" r:id="rId1"/>
    <sheet name="1. sz. mell." sheetId="2" r:id="rId2"/>
    <sheet name="2.1.sz.mell  " sheetId="3" r:id="rId3"/>
    <sheet name="2.2.sz.mell  " sheetId="4" r:id="rId4"/>
    <sheet name="3.sz.mell." sheetId="5" r:id="rId5"/>
    <sheet name="4. sz. mell. " sheetId="6" r:id="rId6"/>
    <sheet name="5. sz. mell" sheetId="7" r:id="rId7"/>
    <sheet name="6. sz. mell" sheetId="8" r:id="rId8"/>
    <sheet name="7. sz. mell" sheetId="9" r:id="rId9"/>
    <sheet name="1. sz tájékoztató t." sheetId="10" r:id="rId10"/>
    <sheet name="2. sz tájékoztató t" sheetId="11" r:id="rId11"/>
    <sheet name="3. tájékoztató tábla" sheetId="12" r:id="rId12"/>
    <sheet name="4.1. tájékoztató tábla" sheetId="13" r:id="rId13"/>
    <sheet name="4.2. tájékoztató tábla" sheetId="14" r:id="rId14"/>
    <sheet name="5. tájékoztató tábla" sheetId="15" r:id="rId15"/>
    <sheet name="6. tájékoztató tábla" sheetId="16" r:id="rId16"/>
  </sheets>
  <definedNames>
    <definedName name="_ftn1" localSheetId="13">'4.2. tájékoztató tábla'!$A$29</definedName>
    <definedName name="_ftnref1" localSheetId="13">'4.2. tájékoztató tábla'!$A$20</definedName>
    <definedName name="_xlfn.IFERROR" hidden="1">#NAME?</definedName>
    <definedName name="_xlnm.Print_Titles" localSheetId="6">'5. sz. mell'!$1:$6</definedName>
    <definedName name="_xlnm.Print_Titles" localSheetId="7">'6. sz. mell'!$1:$6</definedName>
    <definedName name="_xlnm.Print_Area" localSheetId="9">'1. sz tájékoztató t.'!$A$1:$E$58</definedName>
    <definedName name="_xlnm.Print_Area" localSheetId="1">'1. sz. mell.'!$A$1:$E$60</definedName>
    <definedName name="_xlnm.Print_Area" localSheetId="2">'2.1.sz.mell  '!$A$1:$J$33</definedName>
    <definedName name="_xlnm.Print_Area" localSheetId="3">'2.2.sz.mell  '!$A$1:$J$36</definedName>
  </definedNames>
  <calcPr fullCalcOnLoad="1"/>
</workbook>
</file>

<file path=xl/sharedStrings.xml><?xml version="1.0" encoding="utf-8"?>
<sst xmlns="http://schemas.openxmlformats.org/spreadsheetml/2006/main" count="842" uniqueCount="423">
  <si>
    <r>
      <t>EU-s projekt neve, azonosítója:</t>
    </r>
    <r>
      <rPr>
        <sz val="12"/>
        <rFont val="Times New Roman"/>
        <family val="1"/>
      </rPr>
      <t>*</t>
    </r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</si>
  <si>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</si>
  <si>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</si>
  <si>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</si>
  <si>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</si>
  <si>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</si>
  <si>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</si>
  <si>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</si>
  <si>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</si>
  <si>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</si>
  <si>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</si>
  <si>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</si>
  <si>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</si>
  <si>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</si>
  <si>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</si>
  <si>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</si>
  <si>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</si>
  <si>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</si>
  <si>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</si>
  <si>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</si>
  <si>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</si>
  <si>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</si>
  <si>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</si>
  <si>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</si>
  <si>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</si>
  <si>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</si>
  <si>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</si>
  <si>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</si>
  <si>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</si>
  <si>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</si>
  <si>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</si>
  <si>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</si>
  <si>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</si>
  <si>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</si>
  <si>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</si>
  <si>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</si>
  <si>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</si>
  <si>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</si>
  <si>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</si>
  <si>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</si>
  <si>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</si>
  <si>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</si>
  <si>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</si>
  <si>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</si>
  <si>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</si>
  <si>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</si>
  <si>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</si>
  <si>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</si>
  <si>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</si>
  <si>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</si>
  <si>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</si>
  <si>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</si>
  <si>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</si>
  <si>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</si>
  <si>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</si>
  <si>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</si>
  <si>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</si>
  <si>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</si>
  <si>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</si>
  <si>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</si>
  <si>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</si>
  <si>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</si>
  <si>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</si>
  <si>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Kiadások összesen:</t>
  </si>
  <si>
    <t>1.8.</t>
  </si>
  <si>
    <t>1.9.</t>
  </si>
  <si>
    <t>1.10.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</si>
  <si>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</si>
  <si>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</si>
  <si>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</si>
  <si>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</si>
  <si>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</si>
  <si>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</si>
  <si>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</si>
  <si>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</si>
  <si>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</si>
  <si>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</si>
  <si>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</si>
  <si>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</si>
  <si>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</si>
  <si>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</si>
  <si>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</si>
  <si>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</si>
  <si>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</si>
  <si>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</si>
  <si>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</si>
  <si>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</si>
  <si>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</si>
  <si>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</si>
  <si>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</si>
  <si>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</si>
  <si>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</si>
  <si>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</si>
  <si>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</si>
  <si>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</si>
  <si>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</si>
  <si>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</si>
  <si>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</si>
  <si>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</si>
  <si>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</si>
  <si>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</si>
  <si>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</si>
  <si>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</si>
  <si>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</si>
  <si>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</si>
  <si>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</si>
  <si>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</si>
  <si>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</si>
  <si>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</si>
  <si>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</si>
  <si>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</si>
  <si>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</si>
  <si>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</si>
  <si>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</si>
  <si>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</si>
  <si>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</si>
  <si>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</si>
  <si>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</si>
  <si>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</si>
  <si>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</si>
  <si>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</si>
  <si>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</si>
  <si>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</si>
  <si>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</si>
  <si>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</si>
  <si>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</si>
  <si>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</si>
  <si>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</si>
  <si>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</si>
  <si>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</si>
  <si>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</si>
  <si>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</si>
  <si>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</si>
  <si>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</si>
  <si>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</si>
  <si>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</si>
  <si>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</si>
  <si>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</si>
  <si>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</si>
  <si>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</si>
  <si>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</si>
  <si>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</si>
  <si>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</si>
  <si>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</si>
  <si>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</si>
  <si>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</si>
  <si>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</si>
  <si>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</si>
  <si>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</si>
  <si>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</si>
  <si>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Betétek megszüntetése</t>
  </si>
  <si>
    <t>Adóssághoz nem kapcsolódó származékos ügyletek bevételei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</si>
  <si>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</si>
  <si>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</si>
  <si>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</si>
  <si>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</si>
  <si>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</si>
  <si>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</si>
  <si>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</si>
  <si>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</si>
  <si>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</si>
  <si>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</si>
  <si>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</si>
  <si>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</si>
  <si>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</si>
  <si>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</si>
  <si>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</si>
  <si>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</si>
  <si>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</si>
  <si>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</si>
  <si>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</si>
  <si>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</si>
  <si>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</si>
  <si>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</si>
  <si>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</si>
  <si>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</si>
  <si>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</si>
  <si>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</si>
  <si>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Kiadási jogcím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</si>
  <si>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</si>
  <si>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</si>
  <si>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</si>
  <si>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</si>
  <si>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</si>
  <si>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</si>
  <si>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</si>
  <si>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Felhalmozási célú átvett pénzeszközök</t>
  </si>
  <si>
    <t>KÖLTSÉGVETÉSI BEVÉTELEK ÖSSZESEN: (1+…+7)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</si>
  <si>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</si>
  <si>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</si>
  <si>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</si>
  <si>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</si>
  <si>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</si>
  <si>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</si>
  <si>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</si>
  <si>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</si>
  <si>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</si>
  <si>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</si>
  <si>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</si>
  <si>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</si>
  <si>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</si>
  <si>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Működési célú finanszírozási kiadások</t>
  </si>
  <si>
    <t>Felhalmozási célú finanszírozási kiadások</t>
  </si>
  <si>
    <t>Működési bevételek</t>
  </si>
  <si>
    <t>Költségvetési bevételek összesen (1.+…+12.)</t>
  </si>
  <si>
    <t>KÖLTSÉGVETÉSI BEVÉTELEK ÖSSZESEN: (1.+…+7.)</t>
  </si>
  <si>
    <t>FINANSZÍROZÁSI BEVÉTELEK ÖSSZESEN: (9. +10.)</t>
  </si>
  <si>
    <t>BEVÉTELEK ÖSSZESEN: (8.+11.)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</si>
  <si>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</si>
  <si>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</si>
  <si>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</si>
  <si>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</si>
  <si>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</si>
  <si>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</si>
  <si>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</si>
  <si>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</si>
  <si>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</si>
  <si>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</si>
  <si>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</si>
  <si>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költségvetés kiadásai (2.1.+…+2.3.)</t>
  </si>
  <si>
    <t>Egyéb fejlesztési célú kiadások</t>
  </si>
  <si>
    <t>KIADÁSOK ÖSSZESEN: (1.+2.)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</si>
  <si>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</si>
  <si>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 xml:space="preserve">Tartalékok  </t>
  </si>
  <si>
    <t>1.6.-ból - Általános tartalék</t>
  </si>
  <si>
    <t xml:space="preserve">              - Céltartalék</t>
  </si>
  <si>
    <t>KÖLTSÉGVETÉSI KIADÁSOK ÖSSZESEN (1+2)</t>
  </si>
  <si>
    <t>4.4.</t>
  </si>
  <si>
    <t>Finanszírozási kiadások (4.1.+…+4.4.)</t>
  </si>
  <si>
    <t>Központi, irányító szervi támogatás</t>
  </si>
  <si>
    <t>Adóssághoz nem kapcsolódó származékos ügyletek</t>
  </si>
  <si>
    <t>KIADÁSOK ÖSSZESEN: (3.+4.)</t>
  </si>
  <si>
    <t>Felhalmozási célú finanszírozási kiadások összesen (13.+...+24.)</t>
  </si>
  <si>
    <t>Beruházási kiadások előirányzatainak és felhasználásának alakulása feladatonként</t>
  </si>
  <si>
    <t>Felújítási kiadások előirányzatának és felhasználásának alakulása célonként</t>
  </si>
  <si>
    <t>Finanszírozási kiadások (4.1.+…+4.3.)</t>
  </si>
  <si>
    <t>Irányító szervi (önkormányzati) támogatás folyósítása</t>
  </si>
  <si>
    <t>…………………………….</t>
  </si>
  <si>
    <t>…….</t>
  </si>
  <si>
    <t>BEVÉTELEK ÖSSZESEN: (1.+…+7.)</t>
  </si>
  <si>
    <t>Működési költségvetés kiadásai (1.1+…+1.6.)</t>
  </si>
  <si>
    <t xml:space="preserve"> - 2.3.-ból EU-s forrásból tám. megvalósuló programok, projektek kiadásai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</si>
  <si>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</si>
  <si>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</si>
  <si>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</si>
  <si>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</si>
  <si>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</si>
  <si>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</si>
  <si>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</si>
  <si>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</si>
  <si>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</si>
  <si>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</si>
  <si>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</si>
  <si>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</si>
  <si>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</si>
  <si>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</si>
  <si>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29.</t>
  </si>
  <si>
    <t>30.</t>
  </si>
  <si>
    <t>31.</t>
  </si>
  <si>
    <t>Kiadási jogcímek</t>
  </si>
  <si>
    <t>KÖLTSÉGVETÉSI KIADÁSOK ÖSSZESEN (1.+2.)</t>
  </si>
  <si>
    <t>Finanszírozási kiadások (4.1.+4.2.+4.3.)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</si>
  <si>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</si>
  <si>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</si>
  <si>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</si>
  <si>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</si>
  <si>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</si>
  <si>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</si>
  <si>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</si>
  <si>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</si>
  <si>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</si>
  <si>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</si>
  <si>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</si>
  <si>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</si>
  <si>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</si>
  <si>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</si>
  <si>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</si>
  <si>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</si>
  <si>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</si>
  <si>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</si>
  <si>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</si>
  <si>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</si>
  <si>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</si>
  <si>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</si>
  <si>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</si>
  <si>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</si>
  <si>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</si>
  <si>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</si>
  <si>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</si>
  <si>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</si>
  <si>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</si>
  <si>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</si>
  <si>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</si>
  <si>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8=(4+…+7)</t>
  </si>
  <si>
    <t>9=(3+8)</t>
  </si>
  <si>
    <t>Sorszám</t>
  </si>
  <si>
    <t>32.</t>
  </si>
  <si>
    <t>33.</t>
  </si>
  <si>
    <t>Mennyiség
(db)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</si>
  <si>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</si>
  <si>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</si>
  <si>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</si>
  <si>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</si>
  <si>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</si>
  <si>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</si>
  <si>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</si>
  <si>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</si>
  <si>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</si>
  <si>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</si>
  <si>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</si>
  <si>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</si>
  <si>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</si>
  <si>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</si>
  <si>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</si>
  <si>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</si>
  <si>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</si>
  <si>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</si>
  <si>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</si>
  <si>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</si>
  <si>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</si>
  <si>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</si>
  <si>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</si>
  <si>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</si>
  <si>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</si>
  <si>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</si>
  <si>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</si>
  <si>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</si>
  <si>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</si>
  <si>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</si>
  <si>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</si>
  <si>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Kiemelt előirányzat, előirányzat megnevezése</t>
  </si>
  <si>
    <t>Éves tényleges állományi  létszám  (fő)</t>
  </si>
  <si>
    <t>Közfoglalkoztatottak tényleges állományi létszáma (fő)</t>
  </si>
  <si>
    <t>Forintban!</t>
  </si>
  <si>
    <t>Értéke
(Ft)</t>
  </si>
  <si>
    <t>Összeg  (Ft )</t>
  </si>
  <si>
    <t>Bruttó hiány:</t>
  </si>
  <si>
    <t>Bruttó többlet:</t>
  </si>
  <si>
    <t>Európai uniós támogatással megvalósuló projektek</t>
  </si>
  <si>
    <t>pénzügyi teljesítése</t>
  </si>
  <si>
    <t>KÖLTSÉGVETÉSI SZERVEK MARADVÁNYÁNAK ALAKULÁSA</t>
  </si>
  <si>
    <t>ALAPADATOK</t>
  </si>
  <si>
    <t>. évi</t>
  </si>
  <si>
    <t>Előterjesztéskor</t>
  </si>
  <si>
    <t>a</t>
  </si>
  <si>
    <t>…</t>
  </si>
  <si>
    <t>/</t>
  </si>
  <si>
    <t>(</t>
  </si>
  <si>
    <t>)</t>
  </si>
  <si>
    <t>önkormányzati határozathoz</t>
  </si>
  <si>
    <t>1. költségvetési szerv neve</t>
  </si>
  <si>
    <t>10=(5+6+7+8+9)</t>
  </si>
  <si>
    <t>Bátaszék és Környéke Egészségügyi, Szociális és Gyermekjóléti Intézmény–fenntartó Társulás</t>
  </si>
  <si>
    <t>Gondozási Központ Bátaszék</t>
  </si>
  <si>
    <t xml:space="preserve">I. Működési célú bevételek és kiadások mérlege
</t>
  </si>
  <si>
    <t xml:space="preserve">II. Felhalmozási célú bevételek és kiadások mérlege
</t>
  </si>
  <si>
    <t>Társulási működési támogatásai (1.1.+…+.1.5.)</t>
  </si>
  <si>
    <t>Társulási működésének általános támogatása</t>
  </si>
  <si>
    <t>Szociális tevékenység működési támogatása</t>
  </si>
  <si>
    <t>Szociális tevékenység intézményi kiegészítő támogatása</t>
  </si>
  <si>
    <t>Társulási működési támogatásai</t>
  </si>
  <si>
    <t>Finanszírozási bevételek (9.1.+…+9.3.)</t>
  </si>
  <si>
    <t>Vállalkozási maradvány igénybevétele</t>
  </si>
  <si>
    <t>Irányító szervi (önkormányzati) támogatás (intézményfinanszírozás)</t>
  </si>
  <si>
    <t>8.1</t>
  </si>
  <si>
    <t>8.2</t>
  </si>
  <si>
    <t>8.3</t>
  </si>
  <si>
    <t>Gondozási Központ</t>
  </si>
  <si>
    <t>ESZGY Társulás</t>
  </si>
  <si>
    <t>#</t>
  </si>
  <si>
    <t>Előző időszak</t>
  </si>
  <si>
    <t>Módosítások (+/-)</t>
  </si>
  <si>
    <t>Tárgyi időszak</t>
  </si>
  <si>
    <t>06</t>
  </si>
  <si>
    <t>A/II/2 Gépek, berendezések, felszerelések, járművek</t>
  </si>
  <si>
    <t>10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</si>
  <si>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</si>
  <si>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</si>
  <si>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</si>
  <si>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</si>
  <si>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</si>
  <si>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</si>
  <si>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</si>
  <si>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</si>
  <si>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</si>
  <si>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</si>
  <si>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</si>
  <si>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 Költségvetési évben esedékes követelések (=D/I/1+…+D/I/8)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</si>
  <si>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</si>
  <si>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</si>
  <si>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</si>
  <si>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</si>
  <si>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</si>
  <si>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</si>
  <si>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</si>
  <si>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</si>
  <si>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</si>
  <si>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</si>
  <si>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</si>
  <si>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</si>
  <si>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</si>
  <si>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</si>
  <si>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</si>
  <si>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</si>
  <si>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</si>
  <si>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</si>
  <si>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</si>
  <si>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</si>
  <si>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</si>
  <si>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</si>
  <si>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</si>
  <si>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Vagyonmérleg</t>
  </si>
  <si>
    <t>Eltérés</t>
  </si>
  <si>
    <t>%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</si>
  <si>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</si>
  <si>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</si>
  <si>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D/II/4c - ebből: költségvetési évet követően esedékes követelések ellátási díjakra</t>
  </si>
  <si>
    <t>D/II Költségvetési évet követően esedékes követelések (=D/II/1+…+D/II/8)</t>
  </si>
  <si>
    <t>E/I/4 Más előzetesen felszámított nem levonható általános forgalmi adó</t>
  </si>
  <si>
    <t>H/III/1 Kapott előlegek</t>
  </si>
  <si>
    <t>D/I/4c - ebből: költségvetési évben esedékes követelések ellátási daíjakra</t>
  </si>
  <si>
    <t>H/III Kötelezettség jellegű sajátos elszámolások (=H/III/1+…H/III/10</t>
  </si>
  <si>
    <t>2024.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</si>
</sst>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  <numFmt numFmtId="174" formatCode="00"/>
    <numFmt numFmtId="175" formatCode="#,###__;\-#,###__"/>
    <numFmt numFmtId="176" formatCode="#,###\ _F_t;\-#,###\ _F_t"/>
    <numFmt numFmtId="177" formatCode="#,###__"/>
    <numFmt numFmtId="178" formatCode="0.0%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Wingdings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4"/>
      <name val="Times New Roman CE"/>
      <family val="0"/>
    </font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4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4" xfId="60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49" fontId="14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20" xfId="60" applyFont="1" applyFill="1" applyBorder="1" applyAlignment="1" applyProtection="1">
      <alignment horizontal="left" vertical="center" wrapText="1" indent="1"/>
      <protection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0" fontId="13" fillId="0" borderId="22" xfId="60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1" xfId="60" applyFont="1" applyFill="1" applyBorder="1" applyAlignment="1" applyProtection="1">
      <alignment vertical="center" wrapText="1"/>
      <protection/>
    </xf>
    <xf numFmtId="0" fontId="13" fillId="0" borderId="23" xfId="60" applyFont="1" applyFill="1" applyBorder="1" applyAlignment="1" applyProtection="1">
      <alignment vertical="center" wrapText="1"/>
      <protection/>
    </xf>
    <xf numFmtId="0" fontId="13" fillId="0" borderId="20" xfId="60" applyFont="1" applyFill="1" applyBorder="1" applyAlignment="1" applyProtection="1">
      <alignment horizontal="center" vertical="center" wrapText="1"/>
      <protection/>
    </xf>
    <xf numFmtId="0" fontId="13" fillId="0" borderId="21" xfId="60" applyFont="1" applyFill="1" applyBorder="1" applyAlignment="1" applyProtection="1">
      <alignment horizontal="center" vertical="center" wrapText="1"/>
      <protection/>
    </xf>
    <xf numFmtId="0" fontId="13" fillId="0" borderId="24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4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3" fillId="33" borderId="21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1" xfId="60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49" fontId="14" fillId="0" borderId="38" xfId="0" applyNumberFormat="1" applyFont="1" applyFill="1" applyBorder="1" applyAlignment="1">
      <alignment horizontal="left" vertical="center"/>
    </xf>
    <xf numFmtId="49" fontId="19" fillId="0" borderId="39" xfId="0" applyNumberFormat="1" applyFont="1" applyFill="1" applyBorder="1" applyAlignment="1" quotePrefix="1">
      <alignment horizontal="left" vertical="center" indent="1"/>
    </xf>
    <xf numFmtId="49" fontId="14" fillId="0" borderId="39" xfId="0" applyNumberFormat="1" applyFont="1" applyFill="1" applyBorder="1" applyAlignment="1">
      <alignment horizontal="left" vertical="center"/>
    </xf>
    <xf numFmtId="49" fontId="14" fillId="0" borderId="40" xfId="0" applyNumberFormat="1" applyFont="1" applyFill="1" applyBorder="1" applyAlignment="1" applyProtection="1">
      <alignment horizontal="left" vertical="center"/>
      <protection locked="0"/>
    </xf>
    <xf numFmtId="49" fontId="13" fillId="0" borderId="41" xfId="0" applyNumberFormat="1" applyFont="1" applyFill="1" applyBorder="1" applyAlignment="1" applyProtection="1">
      <alignment horizontal="left" vertical="center" indent="1"/>
      <protection locked="0"/>
    </xf>
    <xf numFmtId="49" fontId="13" fillId="0" borderId="42" xfId="0" applyNumberFormat="1" applyFont="1" applyFill="1" applyBorder="1" applyAlignment="1" applyProtection="1">
      <alignment vertical="center"/>
      <protection locked="0"/>
    </xf>
    <xf numFmtId="49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/>
      <protection locked="0"/>
    </xf>
    <xf numFmtId="49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28" xfId="0" applyNumberFormat="1" applyFont="1" applyFill="1" applyBorder="1" applyAlignment="1" applyProtection="1">
      <alignment horizontal="left" vertical="center"/>
      <protection locked="0"/>
    </xf>
    <xf numFmtId="171" fontId="13" fillId="0" borderId="33" xfId="0" applyNumberFormat="1" applyFont="1" applyFill="1" applyBorder="1" applyAlignment="1">
      <alignment horizontal="left" vertical="center" wrapText="1" indent="1"/>
    </xf>
    <xf numFmtId="164" fontId="13" fillId="0" borderId="33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right" vertical="center" wrapText="1"/>
    </xf>
    <xf numFmtId="4" fontId="13" fillId="0" borderId="35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Fill="1" applyBorder="1" applyAlignment="1">
      <alignment horizontal="right" vertical="center" wrapText="1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9" xfId="60" applyNumberFormat="1" applyFont="1" applyFill="1" applyBorder="1" applyAlignment="1" applyProtection="1">
      <alignment horizontal="left" vertical="center"/>
      <protection/>
    </xf>
    <xf numFmtId="0" fontId="13" fillId="0" borderId="45" xfId="60" applyFont="1" applyFill="1" applyBorder="1" applyAlignment="1" applyProtection="1">
      <alignment horizontal="center" vertical="center" wrapTex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164" fontId="14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wrapText="1" indent="1"/>
      <protection/>
    </xf>
    <xf numFmtId="164" fontId="14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1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vertical="center" wrapText="1"/>
      <protection/>
    </xf>
    <xf numFmtId="164" fontId="6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42" xfId="60" applyFont="1" applyFill="1" applyBorder="1" applyAlignment="1" applyProtection="1">
      <alignment horizontal="right" vertical="center" wrapText="1" indent="1"/>
      <protection locked="0"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0" applyFont="1" applyFill="1" applyBorder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60" applyNumberFormat="1" applyFont="1" applyFill="1" applyBorder="1" applyAlignment="1" applyProtection="1">
      <alignment horizontal="center" vertical="center" wrapText="1"/>
      <protection/>
    </xf>
    <xf numFmtId="49" fontId="14" fillId="0" borderId="17" xfId="6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13" fillId="0" borderId="22" xfId="60" applyFont="1" applyFill="1" applyBorder="1" applyAlignment="1" applyProtection="1">
      <alignment horizontal="center" vertical="center" wrapText="1"/>
      <protection/>
    </xf>
    <xf numFmtId="49" fontId="14" fillId="0" borderId="19" xfId="60" applyNumberFormat="1" applyFont="1" applyFill="1" applyBorder="1" applyAlignment="1" applyProtection="1">
      <alignment horizontal="center" vertical="center" wrapText="1"/>
      <protection/>
    </xf>
    <xf numFmtId="49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33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horizontal="lef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21" xfId="0" applyNumberFormat="1" applyFont="1" applyFill="1" applyBorder="1" applyAlignment="1" applyProtection="1">
      <alignment vertical="center" wrapText="1"/>
      <protection/>
    </xf>
    <xf numFmtId="164" fontId="7" fillId="33" borderId="21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vertical="center" wrapText="1"/>
      <protection/>
    </xf>
    <xf numFmtId="164" fontId="13" fillId="0" borderId="45" xfId="0" applyNumberFormat="1" applyFont="1" applyFill="1" applyBorder="1" applyAlignment="1" applyProtection="1">
      <alignment vertical="center" wrapText="1"/>
      <protection/>
    </xf>
    <xf numFmtId="164" fontId="7" fillId="0" borderId="45" xfId="0" applyNumberFormat="1" applyFont="1" applyFill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26" xfId="60" applyFont="1" applyFill="1" applyBorder="1" applyAlignment="1" applyProtection="1" quotePrefix="1">
      <alignment horizontal="left" vertical="center" wrapText="1" indent="1"/>
      <protection/>
    </xf>
    <xf numFmtId="0" fontId="14" fillId="0" borderId="26" xfId="60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7" fillId="0" borderId="61" xfId="60" applyFont="1" applyFill="1" applyBorder="1" applyAlignment="1" applyProtection="1">
      <alignment horizontal="center" vertical="center" wrapText="1"/>
      <protection/>
    </xf>
    <xf numFmtId="164" fontId="14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left" vertical="center" wrapText="1" indent="1"/>
      <protection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4" fillId="0" borderId="18" xfId="0" applyFont="1" applyFill="1" applyBorder="1" applyAlignment="1" applyProtection="1">
      <alignment horizontal="right" vertical="center" wrapText="1" indent="1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0" fontId="2" fillId="0" borderId="0" xfId="60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7" fillId="0" borderId="20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 wrapText="1"/>
      <protection/>
    </xf>
    <xf numFmtId="0" fontId="7" fillId="0" borderId="46" xfId="60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4" fillId="0" borderId="42" xfId="60" applyFont="1" applyFill="1" applyBorder="1" applyAlignment="1" applyProtection="1">
      <alignment horizontal="right" vertical="center" wrapText="1" indent="1"/>
      <protection/>
    </xf>
    <xf numFmtId="164" fontId="14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33" borderId="5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65" xfId="0" applyNumberFormat="1" applyFont="1" applyFill="1" applyBorder="1" applyAlignment="1" applyProtection="1">
      <alignment vertical="center" wrapText="1"/>
      <protection locked="0"/>
    </xf>
    <xf numFmtId="164" fontId="14" fillId="0" borderId="48" xfId="0" applyNumberFormat="1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4" fillId="0" borderId="30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/>
    </xf>
    <xf numFmtId="164" fontId="13" fillId="0" borderId="32" xfId="0" applyNumberFormat="1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4" fillId="0" borderId="66" xfId="0" applyNumberFormat="1" applyFont="1" applyFill="1" applyBorder="1" applyAlignment="1" applyProtection="1">
      <alignment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vertical="center" wrapText="1"/>
      <protection/>
    </xf>
    <xf numFmtId="164" fontId="14" fillId="0" borderId="36" xfId="0" applyNumberFormat="1" applyFont="1" applyFill="1" applyBorder="1" applyAlignment="1" applyProtection="1">
      <alignment vertical="center"/>
      <protection locked="0"/>
    </xf>
    <xf numFmtId="164" fontId="14" fillId="0" borderId="68" xfId="0" applyNumberFormat="1" applyFont="1" applyFill="1" applyBorder="1" applyAlignment="1" applyProtection="1">
      <alignment vertical="center"/>
      <protection locked="0"/>
    </xf>
    <xf numFmtId="164" fontId="13" fillId="0" borderId="21" xfId="0" applyNumberFormat="1" applyFont="1" applyFill="1" applyBorder="1" applyAlignment="1" applyProtection="1">
      <alignment vertical="center"/>
      <protection/>
    </xf>
    <xf numFmtId="164" fontId="13" fillId="0" borderId="54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61" xfId="0" applyNumberFormat="1" applyFont="1" applyFill="1" applyBorder="1" applyAlignment="1" applyProtection="1">
      <alignment vertical="center"/>
      <protection/>
    </xf>
    <xf numFmtId="164" fontId="7" fillId="0" borderId="21" xfId="0" applyNumberFormat="1" applyFont="1" applyFill="1" applyBorder="1" applyAlignment="1" applyProtection="1">
      <alignment vertical="center"/>
      <protection/>
    </xf>
    <xf numFmtId="0" fontId="22" fillId="0" borderId="0" xfId="62" applyFill="1" applyProtection="1">
      <alignment/>
      <protection/>
    </xf>
    <xf numFmtId="0" fontId="27" fillId="0" borderId="0" xfId="62" applyFont="1" applyFill="1" applyProtection="1">
      <alignment/>
      <protection/>
    </xf>
    <xf numFmtId="0" fontId="22" fillId="0" borderId="0" xfId="62" applyFill="1" applyAlignment="1" applyProtection="1">
      <alignment horizontal="center"/>
      <protection/>
    </xf>
    <xf numFmtId="0" fontId="22" fillId="0" borderId="0" xfId="62" applyFill="1">
      <alignment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24" xfId="62" applyFont="1" applyFill="1" applyBorder="1" applyAlignment="1">
      <alignment horizontal="center" vertical="center" wrapText="1"/>
      <protection/>
    </xf>
    <xf numFmtId="0" fontId="17" fillId="0" borderId="17" xfId="62" applyFont="1" applyFill="1" applyBorder="1" applyProtection="1">
      <alignment/>
      <protection locked="0"/>
    </xf>
    <xf numFmtId="0" fontId="17" fillId="0" borderId="12" xfId="62" applyFont="1" applyFill="1" applyBorder="1" applyAlignment="1">
      <alignment horizontal="right" indent="1"/>
      <protection/>
    </xf>
    <xf numFmtId="3" fontId="17" fillId="0" borderId="12" xfId="62" applyNumberFormat="1" applyFont="1" applyFill="1" applyBorder="1" applyProtection="1">
      <alignment/>
      <protection locked="0"/>
    </xf>
    <xf numFmtId="3" fontId="17" fillId="0" borderId="31" xfId="62" applyNumberFormat="1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32" xfId="62" applyNumberFormat="1" applyFont="1" applyFill="1" applyBorder="1" applyProtection="1">
      <alignment/>
      <protection locked="0"/>
    </xf>
    <xf numFmtId="0" fontId="17" fillId="0" borderId="28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0" fontId="18" fillId="0" borderId="20" xfId="62" applyFont="1" applyFill="1" applyBorder="1" applyProtection="1">
      <alignment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176" fontId="13" fillId="0" borderId="24" xfId="61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Protection="1">
      <alignment/>
      <protection locked="0"/>
    </xf>
    <xf numFmtId="3" fontId="17" fillId="0" borderId="69" xfId="62" applyNumberFormat="1" applyFont="1" applyFill="1" applyBorder="1">
      <alignment/>
      <protection/>
    </xf>
    <xf numFmtId="0" fontId="28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22" fillId="0" borderId="0" xfId="62" applyFont="1" applyFill="1">
      <alignment/>
      <protection/>
    </xf>
    <xf numFmtId="3" fontId="22" fillId="0" borderId="0" xfId="62" applyNumberFormat="1" applyFont="1" applyFill="1" applyAlignment="1">
      <alignment horizontal="center"/>
      <protection/>
    </xf>
    <xf numFmtId="0" fontId="22" fillId="0" borderId="0" xfId="62" applyFont="1" applyFill="1" applyAlignment="1">
      <alignment/>
      <protection/>
    </xf>
    <xf numFmtId="0" fontId="0" fillId="0" borderId="0" xfId="0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3" fillId="0" borderId="12" xfId="0" applyFont="1" applyBorder="1" applyAlignment="1" applyProtection="1">
      <alignment horizontal="left" vertical="top" wrapText="1"/>
      <protection locked="0"/>
    </xf>
    <xf numFmtId="9" fontId="33" fillId="0" borderId="12" xfId="70" applyFont="1" applyBorder="1" applyAlignment="1" applyProtection="1">
      <alignment horizontal="center" vertical="center" wrapText="1"/>
      <protection locked="0"/>
    </xf>
    <xf numFmtId="166" fontId="33" fillId="0" borderId="12" xfId="42" applyNumberFormat="1" applyFont="1" applyBorder="1" applyAlignment="1" applyProtection="1">
      <alignment horizontal="center" vertical="center" wrapText="1"/>
      <protection locked="0"/>
    </xf>
    <xf numFmtId="166" fontId="33" fillId="0" borderId="31" xfId="42" applyNumberFormat="1" applyFont="1" applyBorder="1" applyAlignment="1" applyProtection="1">
      <alignment horizontal="center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9" fontId="33" fillId="0" borderId="11" xfId="70" applyFont="1" applyBorder="1" applyAlignment="1" applyProtection="1">
      <alignment horizontal="center" vertical="center" wrapText="1"/>
      <protection locked="0"/>
    </xf>
    <xf numFmtId="166" fontId="33" fillId="0" borderId="11" xfId="42" applyNumberFormat="1" applyFont="1" applyBorder="1" applyAlignment="1" applyProtection="1">
      <alignment horizontal="center" vertical="center" wrapText="1"/>
      <protection locked="0"/>
    </xf>
    <xf numFmtId="166" fontId="33" fillId="0" borderId="32" xfId="42" applyNumberFormat="1" applyFont="1" applyBorder="1" applyAlignment="1" applyProtection="1">
      <alignment horizontal="center" vertical="top" wrapText="1"/>
      <protection locked="0"/>
    </xf>
    <xf numFmtId="0" fontId="33" fillId="0" borderId="15" xfId="0" applyFont="1" applyBorder="1" applyAlignment="1" applyProtection="1">
      <alignment horizontal="left" vertical="top" wrapText="1"/>
      <protection locked="0"/>
    </xf>
    <xf numFmtId="9" fontId="33" fillId="0" borderId="15" xfId="70" applyFont="1" applyBorder="1" applyAlignment="1" applyProtection="1">
      <alignment horizontal="center" vertical="center" wrapText="1"/>
      <protection locked="0"/>
    </xf>
    <xf numFmtId="166" fontId="33" fillId="0" borderId="15" xfId="42" applyNumberFormat="1" applyFont="1" applyBorder="1" applyAlignment="1" applyProtection="1">
      <alignment horizontal="center" vertical="center" wrapText="1"/>
      <protection locked="0"/>
    </xf>
    <xf numFmtId="166" fontId="33" fillId="0" borderId="63" xfId="42" applyNumberFormat="1" applyFont="1" applyBorder="1" applyAlignment="1" applyProtection="1">
      <alignment horizontal="center" vertical="top" wrapText="1"/>
      <protection locked="0"/>
    </xf>
    <xf numFmtId="0" fontId="31" fillId="34" borderId="21" xfId="0" applyFont="1" applyFill="1" applyBorder="1" applyAlignment="1" applyProtection="1">
      <alignment horizontal="center" vertical="top" wrapText="1"/>
      <protection/>
    </xf>
    <xf numFmtId="166" fontId="33" fillId="0" borderId="21" xfId="42" applyNumberFormat="1" applyFont="1" applyBorder="1" applyAlignment="1" applyProtection="1">
      <alignment horizontal="center" vertical="center" wrapText="1"/>
      <protection/>
    </xf>
    <xf numFmtId="166" fontId="33" fillId="0" borderId="24" xfId="42" applyNumberFormat="1" applyFont="1" applyBorder="1" applyAlignment="1" applyProtection="1">
      <alignment horizontal="center" vertical="top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7" fontId="7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indent="5"/>
    </xf>
    <xf numFmtId="177" fontId="12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7" fontId="7" fillId="0" borderId="70" xfId="0" applyNumberFormat="1" applyFont="1" applyFill="1" applyBorder="1" applyAlignment="1" applyProtection="1">
      <alignment horizontal="right" vertical="center"/>
      <protection/>
    </xf>
    <xf numFmtId="0" fontId="0" fillId="0" borderId="67" xfId="0" applyFill="1" applyBorder="1" applyAlignment="1">
      <alignment horizontal="center" vertical="center"/>
    </xf>
    <xf numFmtId="0" fontId="34" fillId="0" borderId="36" xfId="0" applyFont="1" applyFill="1" applyBorder="1" applyAlignment="1">
      <alignment horizontal="left" vertical="center" indent="5"/>
    </xf>
    <xf numFmtId="177" fontId="12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/>
    </xf>
    <xf numFmtId="0" fontId="3" fillId="0" borderId="4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71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72" xfId="0" applyNumberFormat="1" applyFont="1" applyFill="1" applyBorder="1" applyAlignment="1" applyProtection="1">
      <alignment horizontal="right" vertical="center"/>
      <protection locked="0"/>
    </xf>
    <xf numFmtId="3" fontId="35" fillId="0" borderId="72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3" xfId="0" applyNumberFormat="1" applyFont="1" applyFill="1" applyBorder="1" applyAlignment="1">
      <alignment horizontal="right" vertical="center" wrapText="1"/>
    </xf>
    <xf numFmtId="3" fontId="37" fillId="0" borderId="35" xfId="0" applyNumberFormat="1" applyFont="1" applyFill="1" applyBorder="1" applyAlignment="1" applyProtection="1">
      <alignment horizontal="right" vertical="center"/>
      <protection locked="0"/>
    </xf>
    <xf numFmtId="3" fontId="37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5" xfId="0" applyNumberFormat="1" applyFont="1" applyFill="1" applyBorder="1" applyAlignment="1">
      <alignment horizontal="right" vertical="center" wrapText="1"/>
    </xf>
    <xf numFmtId="3" fontId="35" fillId="0" borderId="35" xfId="0" applyNumberFormat="1" applyFont="1" applyFill="1" applyBorder="1" applyAlignment="1" applyProtection="1">
      <alignment horizontal="right" vertical="center"/>
      <protection locked="0"/>
    </xf>
    <xf numFmtId="3" fontId="3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64" xfId="0" applyNumberFormat="1" applyFont="1" applyFill="1" applyBorder="1" applyAlignment="1" applyProtection="1">
      <alignment horizontal="right" vertical="center"/>
      <protection locked="0"/>
    </xf>
    <xf numFmtId="3" fontId="35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3" xfId="0" applyNumberFormat="1" applyFont="1" applyFill="1" applyBorder="1" applyAlignment="1">
      <alignment vertical="center"/>
    </xf>
    <xf numFmtId="164" fontId="36" fillId="0" borderId="72" xfId="0" applyNumberFormat="1" applyFont="1" applyFill="1" applyBorder="1" applyAlignment="1" applyProtection="1">
      <alignment horizontal="right" vertical="center" wrapText="1"/>
      <protection/>
    </xf>
    <xf numFmtId="164" fontId="36" fillId="0" borderId="35" xfId="0" applyNumberFormat="1" applyFont="1" applyFill="1" applyBorder="1" applyAlignment="1" applyProtection="1">
      <alignment horizontal="right" vertical="center" wrapText="1"/>
      <protection/>
    </xf>
    <xf numFmtId="3" fontId="3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3" xfId="0" applyNumberFormat="1" applyFont="1" applyFill="1" applyBorder="1" applyAlignment="1">
      <alignment horizontal="right" vertical="center" wrapText="1"/>
    </xf>
    <xf numFmtId="164" fontId="7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84" fillId="0" borderId="0" xfId="60" applyNumberFormat="1" applyFont="1" applyFill="1">
      <alignment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7" fillId="0" borderId="36" xfId="60" applyFont="1" applyFill="1" applyBorder="1" applyAlignment="1" applyProtection="1">
      <alignment horizontal="center" vertical="center" wrapText="1"/>
      <protection locked="0"/>
    </xf>
    <xf numFmtId="0" fontId="7" fillId="0" borderId="61" xfId="6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3" xfId="0" applyNumberFormat="1" applyFont="1" applyFill="1" applyBorder="1" applyAlignment="1" applyProtection="1">
      <alignment horizontal="center" vertical="center"/>
      <protection locked="0"/>
    </xf>
    <xf numFmtId="164" fontId="13" fillId="0" borderId="74" xfId="0" applyNumberFormat="1" applyFont="1" applyFill="1" applyBorder="1" applyAlignment="1" applyProtection="1">
      <alignment horizontal="center" vertical="center"/>
      <protection locked="0"/>
    </xf>
    <xf numFmtId="164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17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 quotePrefix="1">
      <alignment horizontal="right" vertical="center" inden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76" xfId="0" applyFont="1" applyFill="1" applyBorder="1" applyAlignment="1" applyProtection="1">
      <alignment horizontal="center" vertical="center" wrapText="1"/>
      <protection locked="0"/>
    </xf>
    <xf numFmtId="0" fontId="7" fillId="0" borderId="7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right" vertical="center" wrapText="1" indent="1"/>
      <protection/>
    </xf>
    <xf numFmtId="0" fontId="3" fillId="0" borderId="77" xfId="0" applyFont="1" applyFill="1" applyBorder="1" applyAlignment="1" applyProtection="1">
      <alignment horizontal="right" vertical="center" wrapText="1" indent="1"/>
      <protection/>
    </xf>
    <xf numFmtId="0" fontId="3" fillId="0" borderId="21" xfId="0" applyFont="1" applyFill="1" applyBorder="1" applyAlignment="1" applyProtection="1">
      <alignment horizontal="right" vertical="center" wrapText="1" indent="1"/>
      <protection/>
    </xf>
    <xf numFmtId="0" fontId="3" fillId="0" borderId="24" xfId="0" applyFont="1" applyFill="1" applyBorder="1" applyAlignment="1" applyProtection="1">
      <alignment horizontal="right" vertical="center" wrapText="1" indent="1"/>
      <protection/>
    </xf>
    <xf numFmtId="164" fontId="85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70" xfId="0" applyNumberFormat="1" applyFont="1" applyFill="1" applyBorder="1" applyAlignment="1" applyProtection="1">
      <alignment horizontal="right" vertical="center" indent="1"/>
      <protection locked="0"/>
    </xf>
    <xf numFmtId="49" fontId="7" fillId="0" borderId="59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wrapText="1"/>
    </xf>
    <xf numFmtId="0" fontId="7" fillId="0" borderId="20" xfId="60" applyFont="1" applyFill="1" applyBorder="1" applyAlignment="1" applyProtection="1">
      <alignment horizontal="center" vertical="center" wrapText="1"/>
      <protection locked="0"/>
    </xf>
    <xf numFmtId="0" fontId="7" fillId="0" borderId="21" xfId="60" applyFont="1" applyFill="1" applyBorder="1" applyAlignment="1" applyProtection="1">
      <alignment horizontal="center" vertical="center" wrapText="1"/>
      <protection locked="0"/>
    </xf>
    <xf numFmtId="0" fontId="7" fillId="0" borderId="46" xfId="60" applyFont="1" applyFill="1" applyBorder="1" applyAlignment="1" applyProtection="1">
      <alignment horizontal="center" vertical="center" wrapText="1"/>
      <protection locked="0"/>
    </xf>
    <xf numFmtId="164" fontId="84" fillId="0" borderId="0" xfId="60" applyNumberFormat="1" applyFont="1" applyFill="1" applyProtection="1">
      <alignment/>
      <protection/>
    </xf>
    <xf numFmtId="0" fontId="84" fillId="0" borderId="0" xfId="60" applyFont="1" applyFill="1" applyProtection="1">
      <alignment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2" applyFill="1" applyProtection="1">
      <alignment/>
      <protection locked="0"/>
    </xf>
    <xf numFmtId="0" fontId="22" fillId="0" borderId="0" xfId="62" applyFill="1" applyAlignment="1" applyProtection="1">
      <alignment horizontal="center"/>
      <protection locked="0"/>
    </xf>
    <xf numFmtId="0" fontId="20" fillId="0" borderId="23" xfId="61" applyFont="1" applyFill="1" applyBorder="1" applyAlignment="1" applyProtection="1">
      <alignment horizontal="center" vertical="center" textRotation="90"/>
      <protection locked="0"/>
    </xf>
    <xf numFmtId="0" fontId="16" fillId="0" borderId="22" xfId="62" applyFont="1" applyFill="1" applyBorder="1" applyAlignment="1" applyProtection="1">
      <alignment horizontal="center" vertical="center"/>
      <protection locked="0"/>
    </xf>
    <xf numFmtId="0" fontId="16" fillId="0" borderId="23" xfId="62" applyFont="1" applyFill="1" applyBorder="1" applyAlignment="1" applyProtection="1">
      <alignment horizontal="center" vertical="center" wrapText="1"/>
      <protection locked="0"/>
    </xf>
    <xf numFmtId="0" fontId="16" fillId="0" borderId="77" xfId="62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top" wrapText="1"/>
      <protection/>
    </xf>
    <xf numFmtId="0" fontId="33" fillId="0" borderId="17" xfId="0" applyFont="1" applyBorder="1" applyAlignment="1" applyProtection="1">
      <alignment horizontal="center" vertical="top" wrapText="1"/>
      <protection/>
    </xf>
    <xf numFmtId="0" fontId="33" fillId="0" borderId="28" xfId="0" applyFont="1" applyBorder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86" fillId="0" borderId="0" xfId="0" applyFont="1" applyAlignment="1">
      <alignment/>
    </xf>
    <xf numFmtId="164" fontId="36" fillId="0" borderId="4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0" fillId="7" borderId="11" xfId="0" applyFont="1" applyFill="1" applyBorder="1" applyAlignment="1">
      <alignment horizontal="center" vertical="top" wrapText="1"/>
    </xf>
    <xf numFmtId="3" fontId="22" fillId="0" borderId="11" xfId="62" applyNumberFormat="1" applyFill="1" applyBorder="1" applyProtection="1">
      <alignment/>
      <protection/>
    </xf>
    <xf numFmtId="178" fontId="22" fillId="0" borderId="11" xfId="62" applyNumberFormat="1" applyFill="1" applyBorder="1" applyProtection="1">
      <alignment/>
      <protection/>
    </xf>
    <xf numFmtId="0" fontId="26" fillId="7" borderId="11" xfId="62" applyFont="1" applyFill="1" applyBorder="1" applyProtection="1">
      <alignment/>
      <protection/>
    </xf>
    <xf numFmtId="0" fontId="26" fillId="0" borderId="0" xfId="62" applyFont="1" applyFill="1" applyProtection="1">
      <alignment/>
      <protection locked="0"/>
    </xf>
    <xf numFmtId="0" fontId="7" fillId="0" borderId="62" xfId="60" applyFont="1" applyFill="1" applyBorder="1" applyAlignment="1" applyProtection="1">
      <alignment horizontal="center" vertical="center" wrapText="1"/>
      <protection locked="0"/>
    </xf>
    <xf numFmtId="0" fontId="13" fillId="0" borderId="62" xfId="60" applyFont="1" applyFill="1" applyBorder="1" applyAlignment="1" applyProtection="1">
      <alignment horizontal="center" vertical="center" wrapText="1"/>
      <protection/>
    </xf>
    <xf numFmtId="164" fontId="14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0" applyFill="1" applyBorder="1" applyProtection="1">
      <alignment/>
      <protection/>
    </xf>
    <xf numFmtId="0" fontId="7" fillId="0" borderId="62" xfId="60" applyFont="1" applyFill="1" applyBorder="1" applyAlignment="1" applyProtection="1">
      <alignment horizontal="center" vertical="center" wrapText="1"/>
      <protection/>
    </xf>
    <xf numFmtId="0" fontId="13" fillId="0" borderId="54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/>
      <protection/>
    </xf>
    <xf numFmtId="3" fontId="14" fillId="0" borderId="11" xfId="60" applyNumberFormat="1" applyFont="1" applyFill="1" applyBorder="1" applyProtection="1">
      <alignment/>
      <protection/>
    </xf>
    <xf numFmtId="3" fontId="0" fillId="0" borderId="11" xfId="60" applyNumberFormat="1" applyFont="1" applyFill="1" applyBorder="1" applyProtection="1">
      <alignment/>
      <protection/>
    </xf>
    <xf numFmtId="3" fontId="0" fillId="0" borderId="0" xfId="60" applyNumberFormat="1" applyFont="1" applyFill="1" applyProtection="1">
      <alignment/>
      <protection/>
    </xf>
    <xf numFmtId="178" fontId="14" fillId="0" borderId="11" xfId="60" applyNumberFormat="1" applyFont="1" applyFill="1" applyBorder="1" applyProtection="1">
      <alignment/>
      <protection/>
    </xf>
    <xf numFmtId="178" fontId="0" fillId="0" borderId="11" xfId="60" applyNumberFormat="1" applyFont="1" applyFill="1" applyBorder="1" applyProtection="1">
      <alignment/>
      <protection/>
    </xf>
    <xf numFmtId="178" fontId="0" fillId="0" borderId="0" xfId="60" applyNumberFormat="1" applyFont="1" applyFill="1" applyProtection="1">
      <alignment/>
      <protection/>
    </xf>
    <xf numFmtId="178" fontId="2" fillId="0" borderId="0" xfId="60" applyNumberFormat="1" applyFill="1" applyProtection="1">
      <alignment/>
      <protection/>
    </xf>
    <xf numFmtId="3" fontId="3" fillId="0" borderId="11" xfId="60" applyNumberFormat="1" applyFont="1" applyFill="1" applyBorder="1" applyProtection="1">
      <alignment/>
      <protection/>
    </xf>
    <xf numFmtId="178" fontId="3" fillId="0" borderId="11" xfId="60" applyNumberFormat="1" applyFont="1" applyFill="1" applyBorder="1" applyProtection="1">
      <alignment/>
      <protection/>
    </xf>
    <xf numFmtId="164" fontId="2" fillId="0" borderId="0" xfId="60" applyNumberFormat="1" applyFont="1" applyFill="1" applyProtection="1">
      <alignment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vertical="top" wrapText="1"/>
    </xf>
    <xf numFmtId="3" fontId="41" fillId="0" borderId="11" xfId="0" applyNumberFormat="1" applyFont="1" applyBorder="1" applyAlignment="1">
      <alignment horizontal="right" wrapText="1"/>
    </xf>
    <xf numFmtId="3" fontId="42" fillId="0" borderId="11" xfId="0" applyNumberFormat="1" applyFont="1" applyBorder="1" applyAlignment="1">
      <alignment horizontal="right" wrapText="1"/>
    </xf>
    <xf numFmtId="0" fontId="40" fillId="7" borderId="11" xfId="0" applyFont="1" applyFill="1" applyBorder="1" applyAlignment="1">
      <alignment horizontal="center" vertical="top" wrapText="1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/>
    </xf>
    <xf numFmtId="0" fontId="41" fillId="0" borderId="11" xfId="0" applyFont="1" applyBorder="1" applyAlignment="1">
      <alignment horizontal="left" vertical="top" wrapText="1"/>
    </xf>
    <xf numFmtId="3" fontId="41" fillId="0" borderId="11" xfId="0" applyNumberFormat="1" applyFont="1" applyBorder="1" applyAlignment="1">
      <alignment horizontal="right" wrapText="1"/>
    </xf>
    <xf numFmtId="3" fontId="42" fillId="0" borderId="11" xfId="0" applyNumberFormat="1" applyFont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42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6" fillId="35" borderId="0" xfId="0" applyFont="1" applyFill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6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9" xfId="60" applyFont="1" applyFill="1" applyBorder="1" applyAlignment="1" applyProtection="1">
      <alignment horizontal="center" vertical="center" wrapText="1"/>
      <protection/>
    </xf>
    <xf numFmtId="0" fontId="7" fillId="0" borderId="67" xfId="60" applyFont="1" applyFill="1" applyBorder="1" applyAlignment="1" applyProtection="1">
      <alignment horizontal="center" vertical="center" wrapText="1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164" fontId="7" fillId="0" borderId="13" xfId="60" applyNumberFormat="1" applyFont="1" applyFill="1" applyBorder="1" applyAlignment="1" applyProtection="1">
      <alignment horizontal="center" vertical="center"/>
      <protection/>
    </xf>
    <xf numFmtId="164" fontId="7" fillId="0" borderId="70" xfId="60" applyNumberFormat="1" applyFont="1" applyFill="1" applyBorder="1" applyAlignment="1" applyProtection="1">
      <alignment horizontal="center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 locked="0"/>
    </xf>
    <xf numFmtId="164" fontId="20" fillId="0" borderId="29" xfId="60" applyNumberFormat="1" applyFont="1" applyFill="1" applyBorder="1" applyAlignment="1" applyProtection="1">
      <alignment horizontal="left" vertical="center"/>
      <protection locked="0"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9" xfId="60" applyNumberFormat="1" applyFont="1" applyFill="1" applyBorder="1" applyAlignment="1" applyProtection="1">
      <alignment horizontal="left"/>
      <protection/>
    </xf>
    <xf numFmtId="0" fontId="7" fillId="0" borderId="19" xfId="60" applyFont="1" applyFill="1" applyBorder="1" applyAlignment="1" applyProtection="1">
      <alignment horizontal="center" vertical="center" wrapText="1"/>
      <protection locked="0"/>
    </xf>
    <xf numFmtId="0" fontId="7" fillId="0" borderId="67" xfId="60" applyFont="1" applyFill="1" applyBorder="1" applyAlignment="1" applyProtection="1">
      <alignment horizontal="center" vertical="center" wrapText="1"/>
      <protection locked="0"/>
    </xf>
    <xf numFmtId="0" fontId="7" fillId="0" borderId="13" xfId="60" applyFont="1" applyFill="1" applyBorder="1" applyAlignment="1" applyProtection="1">
      <alignment horizontal="center" vertical="center" wrapText="1"/>
      <protection locked="0"/>
    </xf>
    <xf numFmtId="0" fontId="7" fillId="0" borderId="36" xfId="60" applyFont="1" applyFill="1" applyBorder="1" applyAlignment="1" applyProtection="1">
      <alignment horizontal="center" vertical="center" wrapText="1"/>
      <protection locked="0"/>
    </xf>
    <xf numFmtId="164" fontId="7" fillId="0" borderId="13" xfId="60" applyNumberFormat="1" applyFont="1" applyFill="1" applyBorder="1" applyAlignment="1" applyProtection="1">
      <alignment horizontal="center" vertical="center"/>
      <protection locked="0"/>
    </xf>
    <xf numFmtId="164" fontId="7" fillId="0" borderId="70" xfId="60" applyNumberFormat="1" applyFont="1" applyFill="1" applyBorder="1" applyAlignment="1" applyProtection="1">
      <alignment horizontal="center" vertical="center"/>
      <protection locked="0"/>
    </xf>
    <xf numFmtId="16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0" fontId="6" fillId="0" borderId="0" xfId="0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171" fontId="21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textRotation="180"/>
      <protection locked="0"/>
    </xf>
    <xf numFmtId="164" fontId="3" fillId="0" borderId="41" xfId="0" applyNumberFormat="1" applyFont="1" applyFill="1" applyBorder="1" applyAlignment="1">
      <alignment horizontal="left" vertical="center" wrapText="1" indent="2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5" fillId="0" borderId="29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/>
      <protection locked="0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 locked="0"/>
    </xf>
    <xf numFmtId="164" fontId="7" fillId="0" borderId="73" xfId="0" applyNumberFormat="1" applyFont="1" applyFill="1" applyBorder="1" applyAlignment="1" applyProtection="1">
      <alignment horizontal="center" vertical="center"/>
      <protection locked="0"/>
    </xf>
    <xf numFmtId="164" fontId="0" fillId="0" borderId="38" xfId="0" applyNumberFormat="1" applyFill="1" applyBorder="1" applyAlignment="1" applyProtection="1">
      <alignment horizontal="left" vertical="center" wrapText="1"/>
      <protection locked="0"/>
    </xf>
    <xf numFmtId="164" fontId="0" fillId="0" borderId="80" xfId="0" applyNumberFormat="1" applyFill="1" applyBorder="1" applyAlignment="1" applyProtection="1">
      <alignment horizontal="left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85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  <xf numFmtId="0" fontId="7" fillId="0" borderId="86" xfId="0" applyFont="1" applyFill="1" applyBorder="1" applyAlignment="1" applyProtection="1">
      <alignment horizontal="center" vertical="center"/>
      <protection locked="0"/>
    </xf>
    <xf numFmtId="0" fontId="38" fillId="0" borderId="29" xfId="0" applyFont="1" applyBorder="1" applyAlignment="1" applyProtection="1">
      <alignment horizontal="right" vertical="top"/>
      <protection locked="0"/>
    </xf>
    <xf numFmtId="0" fontId="0" fillId="0" borderId="29" xfId="0" applyBorder="1" applyAlignment="1">
      <alignment/>
    </xf>
    <xf numFmtId="0" fontId="6" fillId="0" borderId="84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0" fontId="7" fillId="0" borderId="46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2" xfId="0" applyNumberFormat="1" applyFont="1" applyFill="1" applyBorder="1" applyAlignment="1" applyProtection="1">
      <alignment horizontal="center" vertical="center"/>
      <protection locked="0"/>
    </xf>
    <xf numFmtId="164" fontId="7" fillId="0" borderId="74" xfId="0" applyNumberFormat="1" applyFont="1" applyFill="1" applyBorder="1" applyAlignment="1" applyProtection="1">
      <alignment horizontal="center" vertical="center"/>
      <protection locked="0"/>
    </xf>
    <xf numFmtId="164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7" fillId="0" borderId="80" xfId="0" applyNumberFormat="1" applyFont="1" applyFill="1" applyBorder="1" applyAlignment="1" applyProtection="1">
      <alignment horizontal="center" vertical="center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 locked="0"/>
    </xf>
    <xf numFmtId="164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0" fontId="7" fillId="0" borderId="7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horizontal="left" vertical="center"/>
      <protection/>
    </xf>
    <xf numFmtId="0" fontId="7" fillId="0" borderId="8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7" fillId="0" borderId="56" xfId="0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0" fontId="5" fillId="0" borderId="29" xfId="0" applyFont="1" applyFill="1" applyBorder="1" applyAlignment="1">
      <alignment horizontal="right"/>
    </xf>
    <xf numFmtId="0" fontId="7" fillId="0" borderId="83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26" fillId="0" borderId="0" xfId="62" applyFont="1" applyFill="1" applyAlignment="1" applyProtection="1">
      <alignment horizontal="center" vertical="center" wrapText="1"/>
      <protection locked="0"/>
    </xf>
    <xf numFmtId="0" fontId="26" fillId="0" borderId="0" xfId="62" applyFont="1" applyFill="1" applyAlignment="1" applyProtection="1">
      <alignment horizontal="center" vertical="center"/>
      <protection locked="0"/>
    </xf>
    <xf numFmtId="0" fontId="16" fillId="0" borderId="41" xfId="62" applyFont="1" applyFill="1" applyBorder="1" applyAlignment="1">
      <alignment horizontal="left"/>
      <protection/>
    </xf>
    <xf numFmtId="0" fontId="16" fillId="0" borderId="46" xfId="62" applyFont="1" applyFill="1" applyBorder="1" applyAlignment="1">
      <alignment horizontal="left"/>
      <protection/>
    </xf>
    <xf numFmtId="3" fontId="22" fillId="0" borderId="0" xfId="62" applyNumberFormat="1" applyFont="1" applyFill="1" applyAlignment="1">
      <alignment horizontal="center"/>
      <protection/>
    </xf>
    <xf numFmtId="0" fontId="9" fillId="0" borderId="0" xfId="0" applyFont="1" applyAlignment="1" applyProtection="1">
      <alignment horizontal="center" textRotation="180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120" zoomScaleNormal="120" zoomScalePageLayoutView="0" workbookViewId="0" topLeftCell="A1">
      <selection activeCell="A20" sqref="A20"/>
    </sheetView>
  </sheetViews>
  <sheetFormatPr defaultColWidth="9.00390625" defaultRowHeight="12.75"/>
  <cols>
    <col min="1" max="1" width="35.875" style="0" customWidth="1"/>
    <col min="2" max="2" width="16.125" style="0" customWidth="1"/>
    <col min="3" max="3" width="1.875" style="0" bestFit="1" customWidth="1"/>
    <col min="5" max="5" width="1.875" style="0" bestFit="1" customWidth="1"/>
    <col min="6" max="6" width="15.00390625" style="0" customWidth="1"/>
    <col min="7" max="7" width="12.375" style="0" customWidth="1"/>
    <col min="8" max="8" width="24.625" style="0" hidden="1" customWidth="1"/>
  </cols>
  <sheetData>
    <row r="1" spans="1:10" ht="18.75">
      <c r="A1" s="557" t="s">
        <v>341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2" ht="12.75">
      <c r="A2" s="508">
        <v>2023</v>
      </c>
      <c r="B2" s="508" t="s">
        <v>342</v>
      </c>
    </row>
    <row r="3" spans="1:8" ht="15.75">
      <c r="A3" s="558" t="s">
        <v>352</v>
      </c>
      <c r="B3" s="558"/>
      <c r="C3" s="558"/>
      <c r="D3" s="558"/>
      <c r="E3" s="558"/>
      <c r="F3" s="558"/>
      <c r="G3" s="558"/>
      <c r="H3" s="558"/>
    </row>
    <row r="6" ht="15">
      <c r="A6" s="504" t="s">
        <v>343</v>
      </c>
    </row>
    <row r="7" spans="1:10" ht="12.75">
      <c r="A7" s="505" t="s">
        <v>344</v>
      </c>
      <c r="B7" s="506" t="s">
        <v>345</v>
      </c>
      <c r="C7" s="338" t="s">
        <v>346</v>
      </c>
      <c r="D7" s="338" t="s">
        <v>422</v>
      </c>
      <c r="E7" s="338" t="s">
        <v>347</v>
      </c>
      <c r="F7" s="506" t="s">
        <v>345</v>
      </c>
      <c r="G7" s="338" t="s">
        <v>348</v>
      </c>
      <c r="H7" s="338" t="s">
        <v>349</v>
      </c>
      <c r="I7" s="338"/>
      <c r="J7" s="338"/>
    </row>
    <row r="8" spans="1:10" ht="12.75">
      <c r="A8" s="31"/>
      <c r="B8" s="31"/>
      <c r="C8" s="31"/>
      <c r="D8" s="31"/>
      <c r="E8" s="31"/>
      <c r="F8" s="31"/>
      <c r="G8" s="31"/>
      <c r="H8" s="31"/>
      <c r="I8" s="31"/>
      <c r="J8" s="31"/>
    </row>
    <row r="11" spans="1:10" ht="14.25">
      <c r="A11" s="507" t="s">
        <v>350</v>
      </c>
      <c r="B11" s="559" t="s">
        <v>353</v>
      </c>
      <c r="C11" s="559"/>
      <c r="D11" s="559"/>
      <c r="E11" s="559"/>
      <c r="F11" s="559"/>
      <c r="G11" s="559"/>
      <c r="H11" s="559"/>
      <c r="I11" s="503"/>
      <c r="J11" s="503"/>
    </row>
  </sheetData>
  <sheetProtection/>
  <mergeCells count="3">
    <mergeCell ref="A1:J1"/>
    <mergeCell ref="A3:H3"/>
    <mergeCell ref="B11:H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="120" zoomScaleNormal="120" zoomScaleSheetLayoutView="145" workbookViewId="0" topLeftCell="A22">
      <selection activeCell="I59" sqref="I59"/>
    </sheetView>
  </sheetViews>
  <sheetFormatPr defaultColWidth="9.00390625" defaultRowHeight="12.75"/>
  <cols>
    <col min="1" max="1" width="7.875" style="277" customWidth="1"/>
    <col min="2" max="2" width="70.875" style="277" customWidth="1"/>
    <col min="3" max="3" width="13.875" style="268" customWidth="1"/>
    <col min="4" max="5" width="13.875" style="277" customWidth="1"/>
    <col min="6" max="6" width="12.00390625" style="267" customWidth="1"/>
    <col min="7" max="7" width="10.625" style="267" customWidth="1"/>
    <col min="8" max="16384" width="9.375" style="267" customWidth="1"/>
  </cols>
  <sheetData>
    <row r="1" spans="1:5" ht="15.75">
      <c r="A1" s="560" t="str">
        <f>CONCATENATE("1. tájékoztató tábla"," ",ALAPADATOK!A7," ",ALAPADATOK!B7," ",ALAPADATOK!C7," ",ALAPADATOK!D7," ",ALAPADATOK!E7," ",ALAPADATOK!F7," ",ALAPADATOK!G7," ",ALAPADATOK!H7)</f>
        <v>1. tájékoztató tábla a … / 2024. ( … ) önkormányzati határozathoz</v>
      </c>
      <c r="B1" s="561"/>
      <c r="C1" s="561"/>
      <c r="D1" s="561"/>
      <c r="E1" s="561"/>
    </row>
    <row r="2" spans="1:5" ht="15.75">
      <c r="A2" s="562"/>
      <c r="B2" s="563"/>
      <c r="C2" s="563"/>
      <c r="D2" s="563"/>
      <c r="E2" s="563"/>
    </row>
    <row r="3" spans="1:5" ht="15.75">
      <c r="A3" s="564" t="str">
        <f>ALAPADATOK!A3</f>
        <v>Bátaszék és Környéke Egészségügyi, Szociális és Gyermekjóléti Intézmény–fenntartó Társulás</v>
      </c>
      <c r="B3" s="565"/>
      <c r="C3" s="565"/>
      <c r="D3" s="565"/>
      <c r="E3" s="565"/>
    </row>
    <row r="4" spans="1:5" ht="15.75">
      <c r="A4" s="564" t="str">
        <f>CONCATENATE(ALAPADATOK!A2,". ÉVI ZÁRSZÁMADÁSÁNAK PÉNZÜGYI MÉRLEGE")</f>
        <v>2023. ÉVI ZÁRSZÁMADÁSÁNAK PÉNZÜGYI MÉRLEGE</v>
      </c>
      <c r="B4" s="565"/>
      <c r="C4" s="565"/>
      <c r="D4" s="565"/>
      <c r="E4" s="565"/>
    </row>
    <row r="5" spans="1:5" ht="15.75">
      <c r="A5" s="433"/>
      <c r="B5" s="433"/>
      <c r="C5" s="434"/>
      <c r="D5" s="433"/>
      <c r="E5" s="433"/>
    </row>
    <row r="6" spans="1:5" ht="15.75" customHeight="1">
      <c r="A6" s="572" t="s">
        <v>1</v>
      </c>
      <c r="B6" s="572"/>
      <c r="C6" s="572"/>
      <c r="D6" s="572"/>
      <c r="E6" s="572"/>
    </row>
    <row r="7" spans="1:5" ht="15.75" customHeight="1" thickBot="1">
      <c r="A7" s="573" t="s">
        <v>83</v>
      </c>
      <c r="B7" s="573"/>
      <c r="C7" s="434"/>
      <c r="D7" s="435"/>
      <c r="E7" s="436" t="str">
        <f>'7. sz. mell'!G5</f>
        <v>Forintban!</v>
      </c>
    </row>
    <row r="8" spans="1:7" ht="37.5" customHeight="1" thickBot="1">
      <c r="A8" s="477" t="s">
        <v>49</v>
      </c>
      <c r="B8" s="478" t="s">
        <v>3</v>
      </c>
      <c r="C8" s="478" t="str">
        <f>+CONCATENATE(LEFT('1. sz. mell.'!C8,4)-1,". évi tény")</f>
        <v>2022. évi tény</v>
      </c>
      <c r="D8" s="479" t="str">
        <f>+CONCATENATE(LEFT('1. sz. mell.'!C8,4),". évi módosított ei.")</f>
        <v>2023. évi módosított ei.</v>
      </c>
      <c r="E8" s="517" t="str">
        <f>+CONCATENATE(LEFT('1. sz. mell.'!C8,4),". teljesítés")</f>
        <v>2023. teljesítés</v>
      </c>
      <c r="F8" s="525" t="s">
        <v>412</v>
      </c>
      <c r="G8" s="525" t="s">
        <v>413</v>
      </c>
    </row>
    <row r="9" spans="1:7" s="272" customFormat="1" ht="12" customHeight="1" thickBot="1">
      <c r="A9" s="22">
        <v>1</v>
      </c>
      <c r="B9" s="23">
        <v>2</v>
      </c>
      <c r="C9" s="23">
        <v>3</v>
      </c>
      <c r="D9" s="23">
        <v>4</v>
      </c>
      <c r="E9" s="518">
        <v>5</v>
      </c>
      <c r="F9" s="532"/>
      <c r="G9" s="535"/>
    </row>
    <row r="10" spans="1:7" s="273" customFormat="1" ht="12" customHeight="1" thickBot="1">
      <c r="A10" s="15" t="s">
        <v>4</v>
      </c>
      <c r="B10" s="16" t="s">
        <v>179</v>
      </c>
      <c r="C10" s="134">
        <f>+C11+C12+C13+C14+C15</f>
        <v>0</v>
      </c>
      <c r="D10" s="134">
        <f>+D11+D12+D13+D14+D15</f>
        <v>0</v>
      </c>
      <c r="E10" s="246">
        <f>+E11+E12+E13+E14+E15</f>
        <v>0</v>
      </c>
      <c r="F10" s="533"/>
      <c r="G10" s="536"/>
    </row>
    <row r="11" spans="1:7" s="273" customFormat="1" ht="12" customHeight="1">
      <c r="A11" s="12" t="s">
        <v>53</v>
      </c>
      <c r="B11" s="202" t="s">
        <v>180</v>
      </c>
      <c r="C11" s="136"/>
      <c r="D11" s="136"/>
      <c r="E11" s="519"/>
      <c r="F11" s="533"/>
      <c r="G11" s="536"/>
    </row>
    <row r="12" spans="1:7" s="273" customFormat="1" ht="12" customHeight="1">
      <c r="A12" s="11" t="s">
        <v>54</v>
      </c>
      <c r="B12" s="65" t="s">
        <v>181</v>
      </c>
      <c r="C12" s="135"/>
      <c r="D12" s="135"/>
      <c r="E12" s="520"/>
      <c r="F12" s="533"/>
      <c r="G12" s="536"/>
    </row>
    <row r="13" spans="1:7" s="273" customFormat="1" ht="12" customHeight="1">
      <c r="A13" s="11" t="s">
        <v>55</v>
      </c>
      <c r="B13" s="65" t="s">
        <v>182</v>
      </c>
      <c r="C13" s="135"/>
      <c r="D13" s="135"/>
      <c r="E13" s="520"/>
      <c r="F13" s="533"/>
      <c r="G13" s="536"/>
    </row>
    <row r="14" spans="1:7" s="273" customFormat="1" ht="12" customHeight="1">
      <c r="A14" s="11" t="s">
        <v>56</v>
      </c>
      <c r="B14" s="65" t="s">
        <v>183</v>
      </c>
      <c r="C14" s="135"/>
      <c r="D14" s="135"/>
      <c r="E14" s="520"/>
      <c r="F14" s="533"/>
      <c r="G14" s="536"/>
    </row>
    <row r="15" spans="1:7" s="273" customFormat="1" ht="12" customHeight="1" thickBot="1">
      <c r="A15" s="11" t="s">
        <v>82</v>
      </c>
      <c r="B15" s="65" t="s">
        <v>184</v>
      </c>
      <c r="C15" s="135"/>
      <c r="D15" s="135"/>
      <c r="E15" s="520"/>
      <c r="F15" s="533"/>
      <c r="G15" s="536"/>
    </row>
    <row r="16" spans="1:7" s="273" customFormat="1" ht="12" customHeight="1" thickBot="1">
      <c r="A16" s="15" t="s">
        <v>5</v>
      </c>
      <c r="B16" s="64" t="s">
        <v>152</v>
      </c>
      <c r="C16" s="161">
        <v>220566757</v>
      </c>
      <c r="D16" s="161">
        <v>249236987</v>
      </c>
      <c r="E16" s="521">
        <v>248314689</v>
      </c>
      <c r="F16" s="539">
        <f>E16-D16</f>
        <v>-922298</v>
      </c>
      <c r="G16" s="540">
        <f>E16/D16</f>
        <v>0.996299513924071</v>
      </c>
    </row>
    <row r="17" spans="1:7" s="273" customFormat="1" ht="12" customHeight="1" thickBot="1">
      <c r="A17" s="15" t="s">
        <v>6</v>
      </c>
      <c r="B17" s="16" t="s">
        <v>164</v>
      </c>
      <c r="C17" s="161">
        <v>941199</v>
      </c>
      <c r="D17" s="161"/>
      <c r="E17" s="521"/>
      <c r="F17" s="539">
        <f aca="true" t="shared" si="0" ref="F17:F31">E17-D17</f>
        <v>0</v>
      </c>
      <c r="G17" s="540" t="e">
        <f aca="true" t="shared" si="1" ref="G17:G31">E17/D17</f>
        <v>#DIV/0!</v>
      </c>
    </row>
    <row r="18" spans="1:7" s="273" customFormat="1" ht="12" customHeight="1" thickBot="1">
      <c r="A18" s="15" t="s">
        <v>89</v>
      </c>
      <c r="B18" s="64" t="s">
        <v>185</v>
      </c>
      <c r="C18" s="206">
        <v>29326476</v>
      </c>
      <c r="D18" s="206">
        <v>39310056</v>
      </c>
      <c r="E18" s="522">
        <v>35626095</v>
      </c>
      <c r="F18" s="539">
        <f t="shared" si="0"/>
        <v>-3683961</v>
      </c>
      <c r="G18" s="540">
        <f t="shared" si="1"/>
        <v>0.906284514069377</v>
      </c>
    </row>
    <row r="19" spans="1:7" s="273" customFormat="1" ht="12" customHeight="1" thickBot="1">
      <c r="A19" s="15" t="s">
        <v>8</v>
      </c>
      <c r="B19" s="64" t="s">
        <v>166</v>
      </c>
      <c r="C19" s="161"/>
      <c r="D19" s="161"/>
      <c r="E19" s="521"/>
      <c r="F19" s="533">
        <f t="shared" si="0"/>
        <v>0</v>
      </c>
      <c r="G19" s="536"/>
    </row>
    <row r="20" spans="1:7" s="273" customFormat="1" ht="12" customHeight="1" thickBot="1">
      <c r="A20" s="15" t="s">
        <v>9</v>
      </c>
      <c r="B20" s="64" t="s">
        <v>153</v>
      </c>
      <c r="C20" s="161"/>
      <c r="D20" s="161"/>
      <c r="E20" s="521"/>
      <c r="F20" s="533">
        <f t="shared" si="0"/>
        <v>0</v>
      </c>
      <c r="G20" s="536"/>
    </row>
    <row r="21" spans="1:7" s="273" customFormat="1" ht="12" customHeight="1" thickBot="1">
      <c r="A21" s="15" t="s">
        <v>91</v>
      </c>
      <c r="B21" s="64" t="s">
        <v>186</v>
      </c>
      <c r="C21" s="161"/>
      <c r="D21" s="161"/>
      <c r="E21" s="521"/>
      <c r="F21" s="533">
        <f t="shared" si="0"/>
        <v>0</v>
      </c>
      <c r="G21" s="536"/>
    </row>
    <row r="22" spans="1:7" s="273" customFormat="1" ht="12" customHeight="1" thickBot="1">
      <c r="A22" s="15" t="s">
        <v>11</v>
      </c>
      <c r="B22" s="16" t="s">
        <v>187</v>
      </c>
      <c r="C22" s="139">
        <f>+C10+C16+C17+C18+C19+C20+C21</f>
        <v>250834432</v>
      </c>
      <c r="D22" s="139">
        <f>+D10+D16+D17+D18+D19+D20+D21</f>
        <v>288547043</v>
      </c>
      <c r="E22" s="523">
        <f>+E10+E16+E17+E18+E19+E20+E21</f>
        <v>283940784</v>
      </c>
      <c r="F22" s="539">
        <f t="shared" si="0"/>
        <v>-4606259</v>
      </c>
      <c r="G22" s="540">
        <f t="shared" si="1"/>
        <v>0.9840363673385487</v>
      </c>
    </row>
    <row r="23" spans="1:7" s="273" customFormat="1" ht="12" customHeight="1" thickBot="1">
      <c r="A23" s="15" t="s">
        <v>12</v>
      </c>
      <c r="B23" s="64" t="s">
        <v>188</v>
      </c>
      <c r="C23" s="134">
        <f>SUM(C24:C28)</f>
        <v>24809549</v>
      </c>
      <c r="D23" s="134">
        <f>SUM(D24:D28)</f>
        <v>18004981</v>
      </c>
      <c r="E23" s="246">
        <f>SUM(E24:E28)</f>
        <v>18004981</v>
      </c>
      <c r="F23" s="539">
        <f t="shared" si="0"/>
        <v>0</v>
      </c>
      <c r="G23" s="540">
        <f t="shared" si="1"/>
        <v>1</v>
      </c>
    </row>
    <row r="24" spans="1:7" s="273" customFormat="1" ht="12" customHeight="1">
      <c r="A24" s="11" t="s">
        <v>189</v>
      </c>
      <c r="B24" s="65" t="s">
        <v>190</v>
      </c>
      <c r="C24" s="138"/>
      <c r="D24" s="138"/>
      <c r="E24" s="524"/>
      <c r="F24" s="533">
        <f t="shared" si="0"/>
        <v>0</v>
      </c>
      <c r="G24" s="536"/>
    </row>
    <row r="25" spans="1:7" s="273" customFormat="1" ht="12" customHeight="1">
      <c r="A25" s="11" t="s">
        <v>191</v>
      </c>
      <c r="B25" s="65" t="s">
        <v>192</v>
      </c>
      <c r="C25" s="138"/>
      <c r="D25" s="138"/>
      <c r="E25" s="524"/>
      <c r="F25" s="533">
        <f t="shared" si="0"/>
        <v>0</v>
      </c>
      <c r="G25" s="536"/>
    </row>
    <row r="26" spans="1:7" s="273" customFormat="1" ht="12" customHeight="1">
      <c r="A26" s="11" t="s">
        <v>193</v>
      </c>
      <c r="B26" s="65" t="s">
        <v>194</v>
      </c>
      <c r="C26" s="138">
        <v>24809549</v>
      </c>
      <c r="D26" s="138">
        <v>18004981</v>
      </c>
      <c r="E26" s="524">
        <v>18004981</v>
      </c>
      <c r="F26" s="533">
        <f t="shared" si="0"/>
        <v>0</v>
      </c>
      <c r="G26" s="536">
        <f t="shared" si="1"/>
        <v>1</v>
      </c>
    </row>
    <row r="27" spans="1:7" s="273" customFormat="1" ht="12" customHeight="1">
      <c r="A27" s="11" t="s">
        <v>195</v>
      </c>
      <c r="B27" s="65" t="s">
        <v>196</v>
      </c>
      <c r="C27" s="138"/>
      <c r="D27" s="138"/>
      <c r="E27" s="524"/>
      <c r="F27" s="533">
        <f t="shared" si="0"/>
        <v>0</v>
      </c>
      <c r="G27" s="536"/>
    </row>
    <row r="28" spans="1:7" s="273" customFormat="1" ht="12" customHeight="1" thickBot="1">
      <c r="A28" s="11" t="s">
        <v>197</v>
      </c>
      <c r="B28" s="65" t="s">
        <v>150</v>
      </c>
      <c r="C28" s="138"/>
      <c r="D28" s="138"/>
      <c r="E28" s="524"/>
      <c r="F28" s="533">
        <f t="shared" si="0"/>
        <v>0</v>
      </c>
      <c r="G28" s="536"/>
    </row>
    <row r="29" spans="1:7" s="273" customFormat="1" ht="12" customHeight="1" thickBot="1">
      <c r="A29" s="15" t="s">
        <v>13</v>
      </c>
      <c r="B29" s="64" t="s">
        <v>151</v>
      </c>
      <c r="C29" s="161"/>
      <c r="D29" s="161"/>
      <c r="E29" s="521"/>
      <c r="F29" s="533">
        <f t="shared" si="0"/>
        <v>0</v>
      </c>
      <c r="G29" s="536"/>
    </row>
    <row r="30" spans="1:7" s="273" customFormat="1" ht="12" customHeight="1" thickBot="1">
      <c r="A30" s="15" t="s">
        <v>14</v>
      </c>
      <c r="B30" s="192" t="s">
        <v>198</v>
      </c>
      <c r="C30" s="139">
        <f>+C23+C29</f>
        <v>24809549</v>
      </c>
      <c r="D30" s="139">
        <f>+D23+D29</f>
        <v>18004981</v>
      </c>
      <c r="E30" s="523">
        <f>+E23+E29</f>
        <v>18004981</v>
      </c>
      <c r="F30" s="539">
        <f t="shared" si="0"/>
        <v>0</v>
      </c>
      <c r="G30" s="540">
        <f t="shared" si="1"/>
        <v>1</v>
      </c>
    </row>
    <row r="31" spans="1:7" s="273" customFormat="1" ht="12" customHeight="1" thickBot="1">
      <c r="A31" s="15" t="s">
        <v>15</v>
      </c>
      <c r="B31" s="193" t="s">
        <v>199</v>
      </c>
      <c r="C31" s="139">
        <f>+C22+C30</f>
        <v>275643981</v>
      </c>
      <c r="D31" s="139">
        <f>+D22+D30</f>
        <v>306552024</v>
      </c>
      <c r="E31" s="523">
        <f>+E22+E30</f>
        <v>301945765</v>
      </c>
      <c r="F31" s="539">
        <f t="shared" si="0"/>
        <v>-4606259</v>
      </c>
      <c r="G31" s="540">
        <f t="shared" si="1"/>
        <v>0.9849739729658415</v>
      </c>
    </row>
    <row r="32" spans="1:7" s="273" customFormat="1" ht="12" customHeight="1">
      <c r="A32" s="165"/>
      <c r="B32" s="166"/>
      <c r="C32" s="167"/>
      <c r="D32" s="274"/>
      <c r="E32" s="275"/>
      <c r="F32" s="534"/>
      <c r="G32" s="537"/>
    </row>
    <row r="33" spans="1:7" s="273" customFormat="1" ht="12" customHeight="1">
      <c r="A33" s="574" t="s">
        <v>32</v>
      </c>
      <c r="B33" s="574"/>
      <c r="C33" s="574"/>
      <c r="D33" s="574"/>
      <c r="E33" s="574"/>
      <c r="F33" s="534"/>
      <c r="G33" s="537"/>
    </row>
    <row r="34" spans="1:7" s="273" customFormat="1" ht="12" customHeight="1" thickBot="1">
      <c r="A34" s="575" t="s">
        <v>84</v>
      </c>
      <c r="B34" s="575"/>
      <c r="C34" s="268"/>
      <c r="D34" s="150"/>
      <c r="E34" s="68" t="str">
        <f>E7</f>
        <v>Forintban!</v>
      </c>
      <c r="F34" s="534"/>
      <c r="G34" s="537"/>
    </row>
    <row r="35" spans="1:7" s="273" customFormat="1" ht="32.25" customHeight="1" thickBot="1">
      <c r="A35" s="269" t="s">
        <v>2</v>
      </c>
      <c r="B35" s="270" t="s">
        <v>259</v>
      </c>
      <c r="C35" s="270" t="str">
        <f>+C8</f>
        <v>2022. évi tény</v>
      </c>
      <c r="D35" s="271" t="str">
        <f>+D8</f>
        <v>2023. évi módosított ei.</v>
      </c>
      <c r="E35" s="526" t="str">
        <f>+E8</f>
        <v>2023. teljesítés</v>
      </c>
      <c r="F35" s="533"/>
      <c r="G35" s="536"/>
    </row>
    <row r="36" spans="1:7" s="273" customFormat="1" ht="12" customHeight="1" thickBot="1">
      <c r="A36" s="22">
        <v>1</v>
      </c>
      <c r="B36" s="23">
        <v>2</v>
      </c>
      <c r="C36" s="23">
        <v>3</v>
      </c>
      <c r="D36" s="23">
        <v>4</v>
      </c>
      <c r="E36" s="527">
        <v>5</v>
      </c>
      <c r="F36" s="533"/>
      <c r="G36" s="536"/>
    </row>
    <row r="37" spans="1:7" s="273" customFormat="1" ht="15" customHeight="1" thickBot="1">
      <c r="A37" s="17" t="s">
        <v>4</v>
      </c>
      <c r="B37" s="21" t="s">
        <v>222</v>
      </c>
      <c r="C37" s="133">
        <f>SUM(C38:C43)</f>
        <v>256697781</v>
      </c>
      <c r="D37" s="133">
        <f>SUM(D38:D43)</f>
        <v>306552024</v>
      </c>
      <c r="E37" s="528">
        <f>SUM(E38:E43)</f>
        <v>273004867</v>
      </c>
      <c r="F37" s="539">
        <f>E37-D37</f>
        <v>-33547157</v>
      </c>
      <c r="G37" s="540">
        <f>E37/D37</f>
        <v>0.890566186573278</v>
      </c>
    </row>
    <row r="38" spans="1:7" s="273" customFormat="1" ht="12.75" customHeight="1">
      <c r="A38" s="13" t="s">
        <v>53</v>
      </c>
      <c r="B38" s="7" t="s">
        <v>33</v>
      </c>
      <c r="C38" s="200">
        <v>118105146</v>
      </c>
      <c r="D38" s="200">
        <v>130454556</v>
      </c>
      <c r="E38" s="529">
        <v>129387964</v>
      </c>
      <c r="F38" s="533">
        <f aca="true" t="shared" si="2" ref="F38:F55">E38-D38</f>
        <v>-1066592</v>
      </c>
      <c r="G38" s="536">
        <f aca="true" t="shared" si="3" ref="G38:G55">E38/D38</f>
        <v>0.9918240341103917</v>
      </c>
    </row>
    <row r="39" spans="1:7" ht="12" customHeight="1">
      <c r="A39" s="11" t="s">
        <v>54</v>
      </c>
      <c r="B39" s="5" t="s">
        <v>92</v>
      </c>
      <c r="C39" s="135">
        <v>15115770</v>
      </c>
      <c r="D39" s="135">
        <v>16893454</v>
      </c>
      <c r="E39" s="520">
        <v>16229186</v>
      </c>
      <c r="F39" s="533">
        <f t="shared" si="2"/>
        <v>-664268</v>
      </c>
      <c r="G39" s="536">
        <f t="shared" si="3"/>
        <v>0.9606789706829639</v>
      </c>
    </row>
    <row r="40" spans="1:7" ht="12" customHeight="1">
      <c r="A40" s="11" t="s">
        <v>55</v>
      </c>
      <c r="B40" s="5" t="s">
        <v>75</v>
      </c>
      <c r="C40" s="137">
        <v>97336786</v>
      </c>
      <c r="D40" s="137">
        <v>113386346</v>
      </c>
      <c r="E40" s="530">
        <v>105478078</v>
      </c>
      <c r="F40" s="533">
        <f t="shared" si="2"/>
        <v>-7908268</v>
      </c>
      <c r="G40" s="536">
        <f t="shared" si="3"/>
        <v>0.9302537891114332</v>
      </c>
    </row>
    <row r="41" spans="1:7" s="272" customFormat="1" ht="12" customHeight="1">
      <c r="A41" s="11" t="s">
        <v>56</v>
      </c>
      <c r="B41" s="8" t="s">
        <v>93</v>
      </c>
      <c r="C41" s="137"/>
      <c r="D41" s="137"/>
      <c r="E41" s="530"/>
      <c r="F41" s="533">
        <f t="shared" si="2"/>
        <v>0</v>
      </c>
      <c r="G41" s="536"/>
    </row>
    <row r="42" spans="1:7" s="272" customFormat="1" ht="12" customHeight="1">
      <c r="A42" s="11" t="s">
        <v>82</v>
      </c>
      <c r="B42" s="8" t="s">
        <v>94</v>
      </c>
      <c r="C42" s="137">
        <v>26140079</v>
      </c>
      <c r="D42" s="137">
        <v>22317816</v>
      </c>
      <c r="E42" s="530">
        <v>21909639</v>
      </c>
      <c r="F42" s="533">
        <f t="shared" si="2"/>
        <v>-408177</v>
      </c>
      <c r="G42" s="536">
        <f t="shared" si="3"/>
        <v>0.9817107104028459</v>
      </c>
    </row>
    <row r="43" spans="1:7" s="272" customFormat="1" ht="12" customHeight="1">
      <c r="A43" s="11" t="s">
        <v>57</v>
      </c>
      <c r="B43" s="8" t="s">
        <v>34</v>
      </c>
      <c r="C43" s="137"/>
      <c r="D43" s="137">
        <v>23499852</v>
      </c>
      <c r="E43" s="530"/>
      <c r="F43" s="533">
        <f t="shared" si="2"/>
        <v>-23499852</v>
      </c>
      <c r="G43" s="536">
        <f t="shared" si="3"/>
        <v>0</v>
      </c>
    </row>
    <row r="44" spans="1:7" s="272" customFormat="1" ht="12" customHeight="1">
      <c r="A44" s="11" t="s">
        <v>58</v>
      </c>
      <c r="B44" s="5" t="s">
        <v>224</v>
      </c>
      <c r="C44" s="137"/>
      <c r="D44" s="137">
        <v>23499852</v>
      </c>
      <c r="E44" s="530"/>
      <c r="F44" s="533">
        <f t="shared" si="2"/>
        <v>-23499852</v>
      </c>
      <c r="G44" s="536">
        <f t="shared" si="3"/>
        <v>0</v>
      </c>
    </row>
    <row r="45" spans="1:7" ht="12" customHeight="1" thickBot="1">
      <c r="A45" s="11" t="s">
        <v>64</v>
      </c>
      <c r="B45" s="14" t="s">
        <v>225</v>
      </c>
      <c r="C45" s="137"/>
      <c r="D45" s="137"/>
      <c r="E45" s="530"/>
      <c r="F45" s="533">
        <f t="shared" si="2"/>
        <v>0</v>
      </c>
      <c r="G45" s="536"/>
    </row>
    <row r="46" spans="1:7" ht="12" customHeight="1" thickBot="1">
      <c r="A46" s="15" t="s">
        <v>5</v>
      </c>
      <c r="B46" s="20" t="s">
        <v>200</v>
      </c>
      <c r="C46" s="134">
        <f>+C47+C48+C49</f>
        <v>941199</v>
      </c>
      <c r="D46" s="134">
        <f>+D47+D48+D49</f>
        <v>0</v>
      </c>
      <c r="E46" s="246">
        <f>+E47+E48+E49</f>
        <v>0</v>
      </c>
      <c r="F46" s="539">
        <f t="shared" si="2"/>
        <v>0</v>
      </c>
      <c r="G46" s="540" t="e">
        <f t="shared" si="3"/>
        <v>#DIV/0!</v>
      </c>
    </row>
    <row r="47" spans="1:7" ht="12" customHeight="1">
      <c r="A47" s="12" t="s">
        <v>59</v>
      </c>
      <c r="B47" s="5" t="s">
        <v>105</v>
      </c>
      <c r="C47" s="136">
        <v>941199</v>
      </c>
      <c r="D47" s="136">
        <v>0</v>
      </c>
      <c r="E47" s="519">
        <v>0</v>
      </c>
      <c r="F47" s="533">
        <f t="shared" si="2"/>
        <v>0</v>
      </c>
      <c r="G47" s="536" t="e">
        <f t="shared" si="3"/>
        <v>#DIV/0!</v>
      </c>
    </row>
    <row r="48" spans="1:7" ht="12" customHeight="1">
      <c r="A48" s="12" t="s">
        <v>60</v>
      </c>
      <c r="B48" s="9" t="s">
        <v>95</v>
      </c>
      <c r="C48" s="135"/>
      <c r="D48" s="135"/>
      <c r="E48" s="520"/>
      <c r="F48" s="533">
        <f t="shared" si="2"/>
        <v>0</v>
      </c>
      <c r="G48" s="536"/>
    </row>
    <row r="49" spans="1:7" ht="12" customHeight="1" thickBot="1">
      <c r="A49" s="12" t="s">
        <v>61</v>
      </c>
      <c r="B49" s="66" t="s">
        <v>106</v>
      </c>
      <c r="C49" s="135"/>
      <c r="D49" s="135"/>
      <c r="E49" s="520"/>
      <c r="F49" s="533">
        <f t="shared" si="2"/>
        <v>0</v>
      </c>
      <c r="G49" s="536"/>
    </row>
    <row r="50" spans="1:7" ht="12" customHeight="1" thickBot="1">
      <c r="A50" s="15" t="s">
        <v>6</v>
      </c>
      <c r="B50" s="52" t="s">
        <v>260</v>
      </c>
      <c r="C50" s="134">
        <f>+C37+C46</f>
        <v>257638980</v>
      </c>
      <c r="D50" s="134">
        <f>+D37+D46</f>
        <v>306552024</v>
      </c>
      <c r="E50" s="246">
        <f>+E37+E46</f>
        <v>273004867</v>
      </c>
      <c r="F50" s="539">
        <f t="shared" si="2"/>
        <v>-33547157</v>
      </c>
      <c r="G50" s="540">
        <f t="shared" si="3"/>
        <v>0.890566186573278</v>
      </c>
    </row>
    <row r="51" spans="1:7" ht="12" customHeight="1" thickBot="1">
      <c r="A51" s="15" t="s">
        <v>7</v>
      </c>
      <c r="B51" s="52" t="s">
        <v>261</v>
      </c>
      <c r="C51" s="134">
        <f>C52+C53+C54</f>
        <v>0</v>
      </c>
      <c r="D51" s="134">
        <f>D52+D53+D54</f>
        <v>0</v>
      </c>
      <c r="E51" s="246">
        <f>E52+E53+E54</f>
        <v>0</v>
      </c>
      <c r="F51" s="533">
        <f t="shared" si="2"/>
        <v>0</v>
      </c>
      <c r="G51" s="536"/>
    </row>
    <row r="52" spans="1:7" ht="12" customHeight="1">
      <c r="A52" s="12" t="s">
        <v>136</v>
      </c>
      <c r="B52" s="6" t="s">
        <v>201</v>
      </c>
      <c r="C52" s="135"/>
      <c r="D52" s="135"/>
      <c r="E52" s="520"/>
      <c r="F52" s="533">
        <f t="shared" si="2"/>
        <v>0</v>
      </c>
      <c r="G52" s="536"/>
    </row>
    <row r="53" spans="1:7" ht="12" customHeight="1">
      <c r="A53" s="11" t="s">
        <v>137</v>
      </c>
      <c r="B53" s="5" t="s">
        <v>202</v>
      </c>
      <c r="C53" s="137"/>
      <c r="D53" s="137"/>
      <c r="E53" s="530"/>
      <c r="F53" s="533">
        <f t="shared" si="2"/>
        <v>0</v>
      </c>
      <c r="G53" s="536"/>
    </row>
    <row r="54" spans="1:7" ht="12" customHeight="1" thickBot="1">
      <c r="A54" s="10" t="s">
        <v>138</v>
      </c>
      <c r="B54" s="4" t="s">
        <v>236</v>
      </c>
      <c r="C54" s="137"/>
      <c r="D54" s="137"/>
      <c r="E54" s="530"/>
      <c r="F54" s="533">
        <f t="shared" si="2"/>
        <v>0</v>
      </c>
      <c r="G54" s="536"/>
    </row>
    <row r="55" spans="1:7" ht="12" customHeight="1" thickBot="1">
      <c r="A55" s="15" t="s">
        <v>8</v>
      </c>
      <c r="B55" s="192" t="s">
        <v>231</v>
      </c>
      <c r="C55" s="276">
        <f>+C50+C51</f>
        <v>257638980</v>
      </c>
      <c r="D55" s="276">
        <f>+D50+D51</f>
        <v>306552024</v>
      </c>
      <c r="E55" s="531">
        <f>+E50+E51</f>
        <v>273004867</v>
      </c>
      <c r="F55" s="539">
        <f t="shared" si="2"/>
        <v>-33547157</v>
      </c>
      <c r="G55" s="540">
        <f t="shared" si="3"/>
        <v>0.890566186573278</v>
      </c>
    </row>
    <row r="56" spans="3:7" ht="12" customHeight="1">
      <c r="C56" s="277"/>
      <c r="D56" s="480">
        <f>D31-D55</f>
        <v>0</v>
      </c>
      <c r="G56" s="538"/>
    </row>
    <row r="57" spans="3:7" ht="12" customHeight="1">
      <c r="C57" s="277"/>
      <c r="D57" s="481"/>
      <c r="G57" s="538"/>
    </row>
    <row r="58" spans="3:7" ht="12" customHeight="1">
      <c r="C58" s="277"/>
      <c r="D58" s="481"/>
      <c r="G58" s="538"/>
    </row>
    <row r="59" spans="3:7" ht="12" customHeight="1">
      <c r="C59" s="277"/>
      <c r="E59" s="541"/>
      <c r="G59" s="538"/>
    </row>
    <row r="60" spans="3:7" ht="15" customHeight="1">
      <c r="C60" s="278"/>
      <c r="D60" s="278"/>
      <c r="E60" s="278"/>
      <c r="F60" s="278"/>
      <c r="G60" s="538"/>
    </row>
    <row r="61" s="273" customFormat="1" ht="12.75" customHeight="1">
      <c r="G61" s="537"/>
    </row>
    <row r="62" ht="15.75">
      <c r="C62" s="277"/>
    </row>
    <row r="63" ht="15.75">
      <c r="C63" s="277"/>
    </row>
    <row r="64" ht="15.75">
      <c r="C64" s="277"/>
    </row>
    <row r="65" ht="16.5" customHeight="1">
      <c r="C65" s="277"/>
    </row>
    <row r="66" ht="15.75">
      <c r="C66" s="277"/>
    </row>
    <row r="67" ht="15.75">
      <c r="C67" s="277"/>
    </row>
    <row r="68" ht="15.75">
      <c r="C68" s="277"/>
    </row>
    <row r="69" ht="15.75">
      <c r="C69" s="277"/>
    </row>
    <row r="70" ht="15.75">
      <c r="C70" s="277"/>
    </row>
    <row r="71" s="277" customFormat="1" ht="15.75">
      <c r="F71" s="267"/>
    </row>
    <row r="72" s="277" customFormat="1" ht="15.75">
      <c r="F72" s="267"/>
    </row>
    <row r="73" s="277" customFormat="1" ht="15.75">
      <c r="F73" s="267"/>
    </row>
    <row r="74" s="277" customFormat="1" ht="15.75">
      <c r="F74" s="267"/>
    </row>
  </sheetData>
  <sheetProtection/>
  <mergeCells count="8">
    <mergeCell ref="A6:E6"/>
    <mergeCell ref="A7:B7"/>
    <mergeCell ref="A33:E33"/>
    <mergeCell ref="A34:B34"/>
    <mergeCell ref="A1:E1"/>
    <mergeCell ref="A2:E2"/>
    <mergeCell ref="A3:E3"/>
    <mergeCell ref="A4:E4"/>
  </mergeCells>
  <printOptions horizontalCentered="1"/>
  <pageMargins left="0.5905511811023623" right="0.5905511811023623" top="0.8661417322834646" bottom="0.8661417322834646" header="0.5905511811023623" footer="0.5905511811023623"/>
  <pageSetup fitToHeight="2" fitToWidth="3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workbookViewId="0" topLeftCell="A1">
      <selection activeCell="P11" sqref="P11"/>
    </sheetView>
  </sheetViews>
  <sheetFormatPr defaultColWidth="9.00390625" defaultRowHeight="12.75"/>
  <cols>
    <col min="1" max="1" width="6.875" style="54" customWidth="1"/>
    <col min="2" max="2" width="42.875" style="36" customWidth="1"/>
    <col min="3" max="3" width="10.875" style="36" customWidth="1"/>
    <col min="4" max="10" width="12.875" style="36" customWidth="1"/>
    <col min="11" max="11" width="4.375" style="36" customWidth="1"/>
    <col min="12" max="16384" width="9.375" style="36" customWidth="1"/>
  </cols>
  <sheetData>
    <row r="1" spans="1:11" ht="27.75" customHeight="1">
      <c r="A1" s="640" t="s">
        <v>262</v>
      </c>
      <c r="B1" s="640"/>
      <c r="C1" s="640"/>
      <c r="D1" s="640"/>
      <c r="E1" s="640"/>
      <c r="F1" s="640"/>
      <c r="G1" s="640"/>
      <c r="H1" s="640"/>
      <c r="I1" s="640"/>
      <c r="J1" s="640"/>
      <c r="K1" s="641" t="str">
        <f>CONCATENATE("2. tájékoztató tábla"," ",ALAPADATOK!A7," ",ALAPADATOK!B7," ",ALAPADATOK!C7," ",ALAPADATOK!D7," ",ALAPADATOK!E7," ",ALAPADATOK!F7," ",ALAPADATOK!G7," ",ALAPADATOK!H7)</f>
        <v>2. tájékoztató tábla a … / 2024. ( … ) önkormányzati határozathoz</v>
      </c>
    </row>
    <row r="2" spans="1:11" ht="20.25" customHeight="1" thickBot="1">
      <c r="A2" s="442"/>
      <c r="B2" s="439"/>
      <c r="C2" s="439"/>
      <c r="D2" s="439"/>
      <c r="E2" s="439"/>
      <c r="F2" s="439"/>
      <c r="G2" s="439"/>
      <c r="H2" s="439"/>
      <c r="I2" s="439"/>
      <c r="J2" s="482" t="str">
        <f>'1. sz tájékoztató t.'!E7</f>
        <v>Forintban!</v>
      </c>
      <c r="K2" s="641"/>
    </row>
    <row r="3" spans="1:11" s="279" customFormat="1" ht="26.25" customHeight="1">
      <c r="A3" s="591" t="s">
        <v>49</v>
      </c>
      <c r="B3" s="643" t="s">
        <v>263</v>
      </c>
      <c r="C3" s="591" t="s">
        <v>264</v>
      </c>
      <c r="D3" s="591" t="str">
        <f>+CONCATENATE(LEFT('1. sz. mell.'!C8,4),". előtti teljesítés")</f>
        <v>2023. előtti teljesítés</v>
      </c>
      <c r="E3" s="591" t="str">
        <f>+CONCATENATE(LEFT('1. sz. mell.'!C8,4),". évi teljesítés")</f>
        <v>2023. évi teljesítés</v>
      </c>
      <c r="F3" s="645" t="s">
        <v>265</v>
      </c>
      <c r="G3" s="646"/>
      <c r="H3" s="646"/>
      <c r="I3" s="647"/>
      <c r="J3" s="643" t="s">
        <v>35</v>
      </c>
      <c r="K3" s="641"/>
    </row>
    <row r="4" spans="1:11" s="280" customFormat="1" ht="32.25" customHeight="1" thickBot="1">
      <c r="A4" s="642"/>
      <c r="B4" s="644"/>
      <c r="C4" s="644"/>
      <c r="D4" s="642"/>
      <c r="E4" s="642"/>
      <c r="F4" s="483" t="str">
        <f>+CONCATENATE(LEFT('1. sz. mell.'!C8,4)+1,".")</f>
        <v>2024.</v>
      </c>
      <c r="G4" s="483" t="str">
        <f>+CONCATENATE(LEFT('1. sz. mell.'!C8,4)+2,".")</f>
        <v>2025.</v>
      </c>
      <c r="H4" s="483" t="str">
        <f>+CONCATENATE(LEFT('1. sz. mell.'!C8,4)+3,".")</f>
        <v>2026.</v>
      </c>
      <c r="I4" s="484" t="str">
        <f>+CONCATENATE(LEFT('1. sz. mell.'!C8,4)+3,". után")</f>
        <v>2026. után</v>
      </c>
      <c r="J4" s="644"/>
      <c r="K4" s="641"/>
    </row>
    <row r="5" spans="1:11" s="285" customFormat="1" ht="12.75" customHeight="1" thickBot="1">
      <c r="A5" s="281">
        <v>1</v>
      </c>
      <c r="B5" s="282">
        <v>2</v>
      </c>
      <c r="C5" s="283">
        <v>3</v>
      </c>
      <c r="D5" s="282">
        <v>4</v>
      </c>
      <c r="E5" s="282">
        <v>5</v>
      </c>
      <c r="F5" s="281">
        <v>6</v>
      </c>
      <c r="G5" s="283">
        <v>7</v>
      </c>
      <c r="H5" s="283">
        <v>8</v>
      </c>
      <c r="I5" s="284">
        <v>9</v>
      </c>
      <c r="J5" s="509" t="s">
        <v>351</v>
      </c>
      <c r="K5" s="641"/>
    </row>
    <row r="6" spans="1:11" ht="24.75" customHeight="1" thickBot="1">
      <c r="A6" s="286" t="s">
        <v>4</v>
      </c>
      <c r="B6" s="287" t="s">
        <v>266</v>
      </c>
      <c r="C6" s="288"/>
      <c r="D6" s="289">
        <f aca="true" t="shared" si="0" ref="D6:I6">+D7+D8</f>
        <v>0</v>
      </c>
      <c r="E6" s="289">
        <f t="shared" si="0"/>
        <v>0</v>
      </c>
      <c r="F6" s="290">
        <f t="shared" si="0"/>
        <v>0</v>
      </c>
      <c r="G6" s="291">
        <f t="shared" si="0"/>
        <v>0</v>
      </c>
      <c r="H6" s="291">
        <f t="shared" si="0"/>
        <v>0</v>
      </c>
      <c r="I6" s="292">
        <f t="shared" si="0"/>
        <v>0</v>
      </c>
      <c r="J6" s="289">
        <f aca="true" t="shared" si="1" ref="J6:J17">SUM(E6:I6)</f>
        <v>0</v>
      </c>
      <c r="K6" s="641"/>
    </row>
    <row r="7" spans="1:11" ht="19.5" customHeight="1">
      <c r="A7" s="293" t="s">
        <v>5</v>
      </c>
      <c r="B7" s="294" t="s">
        <v>267</v>
      </c>
      <c r="C7" s="295"/>
      <c r="D7" s="296"/>
      <c r="E7" s="296"/>
      <c r="F7" s="297"/>
      <c r="G7" s="18"/>
      <c r="H7" s="18"/>
      <c r="I7" s="264"/>
      <c r="J7" s="298">
        <f t="shared" si="1"/>
        <v>0</v>
      </c>
      <c r="K7" s="641"/>
    </row>
    <row r="8" spans="1:11" ht="19.5" customHeight="1" thickBot="1">
      <c r="A8" s="293" t="s">
        <v>6</v>
      </c>
      <c r="B8" s="294" t="s">
        <v>267</v>
      </c>
      <c r="C8" s="295"/>
      <c r="D8" s="296"/>
      <c r="E8" s="296"/>
      <c r="F8" s="297"/>
      <c r="G8" s="18"/>
      <c r="H8" s="18"/>
      <c r="I8" s="264"/>
      <c r="J8" s="298">
        <f t="shared" si="1"/>
        <v>0</v>
      </c>
      <c r="K8" s="641"/>
    </row>
    <row r="9" spans="1:11" ht="25.5" customHeight="1" thickBot="1">
      <c r="A9" s="286" t="s">
        <v>7</v>
      </c>
      <c r="B9" s="287" t="s">
        <v>268</v>
      </c>
      <c r="C9" s="288"/>
      <c r="D9" s="289">
        <f aca="true" t="shared" si="2" ref="D9:I9">+D10+D11</f>
        <v>0</v>
      </c>
      <c r="E9" s="289">
        <f t="shared" si="2"/>
        <v>0</v>
      </c>
      <c r="F9" s="290">
        <f t="shared" si="2"/>
        <v>0</v>
      </c>
      <c r="G9" s="291">
        <f t="shared" si="2"/>
        <v>0</v>
      </c>
      <c r="H9" s="291">
        <f t="shared" si="2"/>
        <v>0</v>
      </c>
      <c r="I9" s="292">
        <f t="shared" si="2"/>
        <v>0</v>
      </c>
      <c r="J9" s="289">
        <f t="shared" si="1"/>
        <v>0</v>
      </c>
      <c r="K9" s="641"/>
    </row>
    <row r="10" spans="1:11" ht="19.5" customHeight="1">
      <c r="A10" s="293" t="s">
        <v>8</v>
      </c>
      <c r="B10" s="294" t="s">
        <v>267</v>
      </c>
      <c r="C10" s="295"/>
      <c r="D10" s="296"/>
      <c r="E10" s="296"/>
      <c r="F10" s="297"/>
      <c r="G10" s="18"/>
      <c r="H10" s="18"/>
      <c r="I10" s="264"/>
      <c r="J10" s="298">
        <f t="shared" si="1"/>
        <v>0</v>
      </c>
      <c r="K10" s="641"/>
    </row>
    <row r="11" spans="1:11" ht="19.5" customHeight="1" thickBot="1">
      <c r="A11" s="293" t="s">
        <v>9</v>
      </c>
      <c r="B11" s="294" t="s">
        <v>267</v>
      </c>
      <c r="C11" s="295"/>
      <c r="D11" s="296"/>
      <c r="E11" s="296"/>
      <c r="F11" s="297"/>
      <c r="G11" s="18"/>
      <c r="H11" s="18"/>
      <c r="I11" s="264"/>
      <c r="J11" s="298">
        <f t="shared" si="1"/>
        <v>0</v>
      </c>
      <c r="K11" s="641"/>
    </row>
    <row r="12" spans="1:11" ht="19.5" customHeight="1" thickBot="1">
      <c r="A12" s="286" t="s">
        <v>10</v>
      </c>
      <c r="B12" s="287" t="s">
        <v>269</v>
      </c>
      <c r="C12" s="288"/>
      <c r="D12" s="289">
        <f aca="true" t="shared" si="3" ref="D12:I12">+D13</f>
        <v>0</v>
      </c>
      <c r="E12" s="289">
        <f t="shared" si="3"/>
        <v>0</v>
      </c>
      <c r="F12" s="290">
        <f t="shared" si="3"/>
        <v>0</v>
      </c>
      <c r="G12" s="291">
        <f t="shared" si="3"/>
        <v>0</v>
      </c>
      <c r="H12" s="291">
        <f t="shared" si="3"/>
        <v>0</v>
      </c>
      <c r="I12" s="292">
        <f t="shared" si="3"/>
        <v>0</v>
      </c>
      <c r="J12" s="289">
        <f t="shared" si="1"/>
        <v>0</v>
      </c>
      <c r="K12" s="641"/>
    </row>
    <row r="13" spans="1:11" ht="19.5" customHeight="1" thickBot="1">
      <c r="A13" s="293" t="s">
        <v>11</v>
      </c>
      <c r="B13" s="294" t="s">
        <v>267</v>
      </c>
      <c r="C13" s="295"/>
      <c r="D13" s="296"/>
      <c r="E13" s="296"/>
      <c r="F13" s="297"/>
      <c r="G13" s="18"/>
      <c r="H13" s="18"/>
      <c r="I13" s="264"/>
      <c r="J13" s="298">
        <f t="shared" si="1"/>
        <v>0</v>
      </c>
      <c r="K13" s="641"/>
    </row>
    <row r="14" spans="1:11" ht="19.5" customHeight="1" thickBot="1">
      <c r="A14" s="286" t="s">
        <v>12</v>
      </c>
      <c r="B14" s="287"/>
      <c r="C14" s="288"/>
      <c r="D14" s="289">
        <f aca="true" t="shared" si="4" ref="D14:I14">+D15</f>
        <v>0</v>
      </c>
      <c r="E14" s="289">
        <f t="shared" si="4"/>
        <v>0</v>
      </c>
      <c r="F14" s="290">
        <f t="shared" si="4"/>
        <v>0</v>
      </c>
      <c r="G14" s="291">
        <f t="shared" si="4"/>
        <v>0</v>
      </c>
      <c r="H14" s="291">
        <f t="shared" si="4"/>
        <v>0</v>
      </c>
      <c r="I14" s="292">
        <f t="shared" si="4"/>
        <v>0</v>
      </c>
      <c r="J14" s="289">
        <f t="shared" si="1"/>
        <v>0</v>
      </c>
      <c r="K14" s="641"/>
    </row>
    <row r="15" spans="1:11" ht="19.5" customHeight="1" thickBot="1">
      <c r="A15" s="299" t="s">
        <v>13</v>
      </c>
      <c r="B15" s="300" t="s">
        <v>267</v>
      </c>
      <c r="C15" s="301"/>
      <c r="D15" s="302"/>
      <c r="E15" s="302"/>
      <c r="F15" s="303"/>
      <c r="G15" s="19"/>
      <c r="H15" s="19"/>
      <c r="I15" s="265"/>
      <c r="J15" s="304">
        <f t="shared" si="1"/>
        <v>0</v>
      </c>
      <c r="K15" s="641"/>
    </row>
    <row r="16" spans="1:11" ht="19.5" customHeight="1" thickBot="1">
      <c r="A16" s="286" t="s">
        <v>14</v>
      </c>
      <c r="B16" s="305"/>
      <c r="C16" s="288"/>
      <c r="D16" s="289">
        <f aca="true" t="shared" si="5" ref="D16:I16">+D17</f>
        <v>0</v>
      </c>
      <c r="E16" s="289">
        <f t="shared" si="5"/>
        <v>0</v>
      </c>
      <c r="F16" s="290">
        <f t="shared" si="5"/>
        <v>0</v>
      </c>
      <c r="G16" s="291">
        <f t="shared" si="5"/>
        <v>0</v>
      </c>
      <c r="H16" s="291">
        <f t="shared" si="5"/>
        <v>0</v>
      </c>
      <c r="I16" s="292">
        <f t="shared" si="5"/>
        <v>0</v>
      </c>
      <c r="J16" s="289">
        <f t="shared" si="1"/>
        <v>0</v>
      </c>
      <c r="K16" s="641"/>
    </row>
    <row r="17" spans="1:11" ht="19.5" customHeight="1" thickBot="1">
      <c r="A17" s="306" t="s">
        <v>15</v>
      </c>
      <c r="B17" s="307" t="s">
        <v>267</v>
      </c>
      <c r="C17" s="308"/>
      <c r="D17" s="309"/>
      <c r="E17" s="309"/>
      <c r="F17" s="310"/>
      <c r="G17" s="311"/>
      <c r="H17" s="311"/>
      <c r="I17" s="312"/>
      <c r="J17" s="313">
        <f t="shared" si="1"/>
        <v>0</v>
      </c>
      <c r="K17" s="641"/>
    </row>
    <row r="18" spans="1:11" ht="19.5" customHeight="1" thickBot="1">
      <c r="A18" s="648" t="s">
        <v>270</v>
      </c>
      <c r="B18" s="649"/>
      <c r="C18" s="288"/>
      <c r="D18" s="289">
        <f>+D6+D9+D12+D14+D16</f>
        <v>0</v>
      </c>
      <c r="E18" s="289">
        <f aca="true" t="shared" si="6" ref="E18:J18">+E6+E9+E12+E14+E16</f>
        <v>0</v>
      </c>
      <c r="F18" s="290">
        <f t="shared" si="6"/>
        <v>0</v>
      </c>
      <c r="G18" s="291">
        <f t="shared" si="6"/>
        <v>0</v>
      </c>
      <c r="H18" s="291">
        <f t="shared" si="6"/>
        <v>0</v>
      </c>
      <c r="I18" s="292">
        <f t="shared" si="6"/>
        <v>0</v>
      </c>
      <c r="J18" s="289">
        <f t="shared" si="6"/>
        <v>0</v>
      </c>
      <c r="K18" s="641"/>
    </row>
  </sheetData>
  <sheetProtection/>
  <mergeCells count="10">
    <mergeCell ref="A1:J1"/>
    <mergeCell ref="K1:K18"/>
    <mergeCell ref="A3:A4"/>
    <mergeCell ref="B3:B4"/>
    <mergeCell ref="C3:C4"/>
    <mergeCell ref="E3:E4"/>
    <mergeCell ref="F3:I3"/>
    <mergeCell ref="J3:J4"/>
    <mergeCell ref="A18:B18"/>
    <mergeCell ref="D3:D4"/>
  </mergeCells>
  <printOptions horizontalCentered="1"/>
  <pageMargins left="0.5905511811023623" right="0.5905511811023623" top="1.0236220472440944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workbookViewId="0" topLeftCell="A1">
      <selection activeCell="L12" sqref="L12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662" t="str">
        <f>+CONCATENATE("Adósság állomány alakulása lejárat, eszközök, bel- és külföldi hitelezők szerinti bontásban ",CHAR(10),LEFT('1. sz. mell.'!C8,4),". december 31-én")</f>
        <v>Adósság állomány alakulása lejárat, eszközök, bel- és külföldi hitelezők szerinti bontásban 
2023. december 31-én</v>
      </c>
      <c r="B1" s="663"/>
      <c r="C1" s="663"/>
      <c r="D1" s="663"/>
      <c r="E1" s="663"/>
      <c r="F1" s="663"/>
      <c r="G1" s="663"/>
      <c r="H1" s="663"/>
      <c r="I1" s="663"/>
      <c r="J1" s="664" t="str">
        <f>CONCATENATE("3. tájékoztató tábla"," ",ALAPADATOK!A7," ",ALAPADATOK!B7," ",ALAPADATOK!C7," ",ALAPADATOK!D7," ",ALAPADATOK!E7," ",ALAPADATOK!F7," ",ALAPADATOK!G7," ",ALAPADATOK!H7)</f>
        <v>3. tájékoztató tábla a … / 2024. ( … ) önkormányzati határozathoz</v>
      </c>
    </row>
    <row r="2" spans="8:10" ht="14.25" thickBot="1">
      <c r="H2" s="665" t="str">
        <f>'2. sz tájékoztató t'!J2</f>
        <v>Forintban!</v>
      </c>
      <c r="I2" s="665"/>
      <c r="J2" s="664"/>
    </row>
    <row r="3" spans="1:10" ht="13.5" thickBot="1">
      <c r="A3" s="666" t="s">
        <v>2</v>
      </c>
      <c r="B3" s="668" t="s">
        <v>271</v>
      </c>
      <c r="C3" s="670" t="s">
        <v>272</v>
      </c>
      <c r="D3" s="672" t="s">
        <v>273</v>
      </c>
      <c r="E3" s="673"/>
      <c r="F3" s="673"/>
      <c r="G3" s="673"/>
      <c r="H3" s="673"/>
      <c r="I3" s="650" t="s">
        <v>274</v>
      </c>
      <c r="J3" s="664"/>
    </row>
    <row r="4" spans="1:10" s="316" customFormat="1" ht="42" customHeight="1" thickBot="1">
      <c r="A4" s="667"/>
      <c r="B4" s="669"/>
      <c r="C4" s="671"/>
      <c r="D4" s="314" t="s">
        <v>275</v>
      </c>
      <c r="E4" s="314" t="s">
        <v>276</v>
      </c>
      <c r="F4" s="314" t="s">
        <v>277</v>
      </c>
      <c r="G4" s="315" t="s">
        <v>278</v>
      </c>
      <c r="H4" s="315" t="s">
        <v>279</v>
      </c>
      <c r="I4" s="651"/>
      <c r="J4" s="664"/>
    </row>
    <row r="5" spans="1:10" s="316" customFormat="1" ht="12" customHeight="1" thickBot="1">
      <c r="A5" s="317">
        <v>1</v>
      </c>
      <c r="B5" s="318">
        <v>2</v>
      </c>
      <c r="C5" s="318">
        <v>3</v>
      </c>
      <c r="D5" s="318">
        <v>4</v>
      </c>
      <c r="E5" s="318">
        <v>5</v>
      </c>
      <c r="F5" s="318">
        <v>6</v>
      </c>
      <c r="G5" s="318">
        <v>7</v>
      </c>
      <c r="H5" s="318" t="s">
        <v>293</v>
      </c>
      <c r="I5" s="319" t="s">
        <v>294</v>
      </c>
      <c r="J5" s="664"/>
    </row>
    <row r="6" spans="1:10" s="316" customFormat="1" ht="18" customHeight="1">
      <c r="A6" s="652" t="s">
        <v>280</v>
      </c>
      <c r="B6" s="653"/>
      <c r="C6" s="653"/>
      <c r="D6" s="653"/>
      <c r="E6" s="653"/>
      <c r="F6" s="653"/>
      <c r="G6" s="653"/>
      <c r="H6" s="653"/>
      <c r="I6" s="654"/>
      <c r="J6" s="664"/>
    </row>
    <row r="7" spans="1:10" ht="15.75" customHeight="1">
      <c r="A7" s="320" t="s">
        <v>4</v>
      </c>
      <c r="B7" s="321" t="s">
        <v>281</v>
      </c>
      <c r="C7" s="322"/>
      <c r="D7" s="322"/>
      <c r="E7" s="322"/>
      <c r="F7" s="322"/>
      <c r="G7" s="323"/>
      <c r="H7" s="324">
        <f aca="true" t="shared" si="0" ref="H7:H13">SUM(D7:G7)</f>
        <v>0</v>
      </c>
      <c r="I7" s="325">
        <f aca="true" t="shared" si="1" ref="I7:I13">C7+H7</f>
        <v>0</v>
      </c>
      <c r="J7" s="664"/>
    </row>
    <row r="8" spans="1:10" ht="22.5">
      <c r="A8" s="320" t="s">
        <v>5</v>
      </c>
      <c r="B8" s="321" t="s">
        <v>282</v>
      </c>
      <c r="C8" s="322"/>
      <c r="D8" s="322"/>
      <c r="E8" s="322"/>
      <c r="F8" s="322"/>
      <c r="G8" s="323"/>
      <c r="H8" s="324">
        <f t="shared" si="0"/>
        <v>0</v>
      </c>
      <c r="I8" s="325">
        <f t="shared" si="1"/>
        <v>0</v>
      </c>
      <c r="J8" s="664"/>
    </row>
    <row r="9" spans="1:10" ht="22.5">
      <c r="A9" s="320" t="s">
        <v>6</v>
      </c>
      <c r="B9" s="321" t="s">
        <v>283</v>
      </c>
      <c r="C9" s="322"/>
      <c r="D9" s="322"/>
      <c r="E9" s="322"/>
      <c r="F9" s="322"/>
      <c r="G9" s="323"/>
      <c r="H9" s="324">
        <f t="shared" si="0"/>
        <v>0</v>
      </c>
      <c r="I9" s="325">
        <f t="shared" si="1"/>
        <v>0</v>
      </c>
      <c r="J9" s="664"/>
    </row>
    <row r="10" spans="1:10" ht="15.75" customHeight="1">
      <c r="A10" s="320" t="s">
        <v>7</v>
      </c>
      <c r="B10" s="321" t="s">
        <v>284</v>
      </c>
      <c r="C10" s="322"/>
      <c r="D10" s="322"/>
      <c r="E10" s="322"/>
      <c r="F10" s="322"/>
      <c r="G10" s="323"/>
      <c r="H10" s="324">
        <f t="shared" si="0"/>
        <v>0</v>
      </c>
      <c r="I10" s="325">
        <f t="shared" si="1"/>
        <v>0</v>
      </c>
      <c r="J10" s="664"/>
    </row>
    <row r="11" spans="1:10" ht="22.5">
      <c r="A11" s="320" t="s">
        <v>8</v>
      </c>
      <c r="B11" s="321" t="s">
        <v>285</v>
      </c>
      <c r="C11" s="322"/>
      <c r="D11" s="322"/>
      <c r="E11" s="322"/>
      <c r="F11" s="322"/>
      <c r="G11" s="323"/>
      <c r="H11" s="324">
        <f t="shared" si="0"/>
        <v>0</v>
      </c>
      <c r="I11" s="325">
        <f t="shared" si="1"/>
        <v>0</v>
      </c>
      <c r="J11" s="664"/>
    </row>
    <row r="12" spans="1:10" ht="15.75" customHeight="1">
      <c r="A12" s="326" t="s">
        <v>9</v>
      </c>
      <c r="B12" s="327" t="s">
        <v>286</v>
      </c>
      <c r="C12" s="328">
        <v>5074510</v>
      </c>
      <c r="D12" s="328"/>
      <c r="E12" s="328"/>
      <c r="F12" s="328"/>
      <c r="G12" s="329"/>
      <c r="H12" s="324">
        <f t="shared" si="0"/>
        <v>0</v>
      </c>
      <c r="I12" s="325">
        <f t="shared" si="1"/>
        <v>5074510</v>
      </c>
      <c r="J12" s="664"/>
    </row>
    <row r="13" spans="1:10" ht="15.75" customHeight="1" thickBot="1">
      <c r="A13" s="330" t="s">
        <v>10</v>
      </c>
      <c r="B13" s="331" t="s">
        <v>287</v>
      </c>
      <c r="C13" s="332"/>
      <c r="D13" s="332"/>
      <c r="E13" s="332"/>
      <c r="F13" s="332"/>
      <c r="G13" s="333"/>
      <c r="H13" s="324">
        <f t="shared" si="0"/>
        <v>0</v>
      </c>
      <c r="I13" s="325">
        <f t="shared" si="1"/>
        <v>0</v>
      </c>
      <c r="J13" s="664"/>
    </row>
    <row r="14" spans="1:10" s="337" customFormat="1" ht="18" customHeight="1" thickBot="1">
      <c r="A14" s="655" t="s">
        <v>288</v>
      </c>
      <c r="B14" s="656"/>
      <c r="C14" s="334">
        <f aca="true" t="shared" si="2" ref="C14:I14">SUM(C7:C13)</f>
        <v>5074510</v>
      </c>
      <c r="D14" s="334">
        <f>SUM(D7:D13)</f>
        <v>0</v>
      </c>
      <c r="E14" s="334">
        <f t="shared" si="2"/>
        <v>0</v>
      </c>
      <c r="F14" s="334">
        <f t="shared" si="2"/>
        <v>0</v>
      </c>
      <c r="G14" s="335">
        <f t="shared" si="2"/>
        <v>0</v>
      </c>
      <c r="H14" s="335">
        <f t="shared" si="2"/>
        <v>0</v>
      </c>
      <c r="I14" s="336">
        <f t="shared" si="2"/>
        <v>5074510</v>
      </c>
      <c r="J14" s="664"/>
    </row>
    <row r="15" spans="1:10" s="338" customFormat="1" ht="18" customHeight="1">
      <c r="A15" s="657" t="s">
        <v>289</v>
      </c>
      <c r="B15" s="658"/>
      <c r="C15" s="658"/>
      <c r="D15" s="658"/>
      <c r="E15" s="658"/>
      <c r="F15" s="658"/>
      <c r="G15" s="658"/>
      <c r="H15" s="658"/>
      <c r="I15" s="659"/>
      <c r="J15" s="664"/>
    </row>
    <row r="16" spans="1:10" s="338" customFormat="1" ht="12.75">
      <c r="A16" s="320" t="s">
        <v>4</v>
      </c>
      <c r="B16" s="321" t="s">
        <v>290</v>
      </c>
      <c r="C16" s="322"/>
      <c r="D16" s="322"/>
      <c r="E16" s="322"/>
      <c r="F16" s="322"/>
      <c r="G16" s="323"/>
      <c r="H16" s="324">
        <f>SUM(D16:G16)</f>
        <v>0</v>
      </c>
      <c r="I16" s="325">
        <f>C16+H16</f>
        <v>0</v>
      </c>
      <c r="J16" s="664"/>
    </row>
    <row r="17" spans="1:10" ht="13.5" thickBot="1">
      <c r="A17" s="330" t="s">
        <v>5</v>
      </c>
      <c r="B17" s="331" t="s">
        <v>287</v>
      </c>
      <c r="C17" s="332"/>
      <c r="D17" s="332"/>
      <c r="E17" s="332"/>
      <c r="F17" s="332"/>
      <c r="G17" s="333"/>
      <c r="H17" s="324">
        <f>SUM(D17:G17)</f>
        <v>0</v>
      </c>
      <c r="I17" s="339">
        <f>C17+H17</f>
        <v>0</v>
      </c>
      <c r="J17" s="664"/>
    </row>
    <row r="18" spans="1:10" ht="15.75" customHeight="1" thickBot="1">
      <c r="A18" s="655" t="s">
        <v>291</v>
      </c>
      <c r="B18" s="656"/>
      <c r="C18" s="334">
        <f aca="true" t="shared" si="3" ref="C18:I18">SUM(C16:C17)</f>
        <v>0</v>
      </c>
      <c r="D18" s="334">
        <f t="shared" si="3"/>
        <v>0</v>
      </c>
      <c r="E18" s="334">
        <f t="shared" si="3"/>
        <v>0</v>
      </c>
      <c r="F18" s="334">
        <f t="shared" si="3"/>
        <v>0</v>
      </c>
      <c r="G18" s="335">
        <f t="shared" si="3"/>
        <v>0</v>
      </c>
      <c r="H18" s="335">
        <f t="shared" si="3"/>
        <v>0</v>
      </c>
      <c r="I18" s="336">
        <f t="shared" si="3"/>
        <v>0</v>
      </c>
      <c r="J18" s="664"/>
    </row>
    <row r="19" spans="1:10" ht="18" customHeight="1" thickBot="1">
      <c r="A19" s="660" t="s">
        <v>292</v>
      </c>
      <c r="B19" s="661"/>
      <c r="C19" s="340">
        <f aca="true" t="shared" si="4" ref="C19:I19">C14+C18</f>
        <v>5074510</v>
      </c>
      <c r="D19" s="340">
        <f t="shared" si="4"/>
        <v>0</v>
      </c>
      <c r="E19" s="340">
        <f t="shared" si="4"/>
        <v>0</v>
      </c>
      <c r="F19" s="340">
        <f t="shared" si="4"/>
        <v>0</v>
      </c>
      <c r="G19" s="340">
        <f t="shared" si="4"/>
        <v>0</v>
      </c>
      <c r="H19" s="340">
        <f t="shared" si="4"/>
        <v>0</v>
      </c>
      <c r="I19" s="336">
        <f t="shared" si="4"/>
        <v>5074510</v>
      </c>
      <c r="J19" s="664"/>
    </row>
  </sheetData>
  <sheetProtection/>
  <mergeCells count="13"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120" zoomScaleNormal="120" zoomScaleSheetLayoutView="120" workbookViewId="0" topLeftCell="A28">
      <selection activeCell="H9" sqref="H9"/>
    </sheetView>
  </sheetViews>
  <sheetFormatPr defaultColWidth="12.00390625" defaultRowHeight="12.75"/>
  <cols>
    <col min="1" max="1" width="5.875" style="341" customWidth="1"/>
    <col min="2" max="2" width="62.00390625" style="342" customWidth="1"/>
    <col min="3" max="3" width="19.375" style="341" customWidth="1"/>
    <col min="4" max="4" width="18.375" style="341" customWidth="1"/>
    <col min="5" max="5" width="19.375" style="343" customWidth="1"/>
    <col min="6" max="6" width="13.875" style="341" customWidth="1"/>
    <col min="7" max="7" width="19.00390625" style="341" bestFit="1" customWidth="1"/>
    <col min="8" max="16384" width="12.00390625" style="341" customWidth="1"/>
  </cols>
  <sheetData>
    <row r="1" spans="1:7" ht="15.75">
      <c r="A1" s="560" t="str">
        <f>CONCATENATE("4.1. tájékoztató tábla"," ",ALAPADATOK!A7," ",ALAPADATOK!B7," ",ALAPADATOK!C7," ",ALAPADATOK!D7," ",ALAPADATOK!E7," ",ALAPADATOK!F7," ",ALAPADATOK!G7," ",ALAPADATOK!H7)</f>
        <v>4.1. tájékoztató tábla a … / 2024. ( … ) önkormányzati határozathoz</v>
      </c>
      <c r="B1" s="561"/>
      <c r="C1" s="561"/>
      <c r="D1" s="561"/>
      <c r="E1" s="561"/>
      <c r="F1" s="476"/>
      <c r="G1" s="476"/>
    </row>
    <row r="2" spans="1:5" ht="15.75">
      <c r="A2" s="485"/>
      <c r="B2" s="516" t="s">
        <v>411</v>
      </c>
      <c r="C2" s="485"/>
      <c r="D2" s="485"/>
      <c r="E2" s="486"/>
    </row>
    <row r="3" spans="1:7" ht="30">
      <c r="A3" s="549" t="s">
        <v>369</v>
      </c>
      <c r="B3" s="549" t="s">
        <v>42</v>
      </c>
      <c r="C3" s="549" t="s">
        <v>370</v>
      </c>
      <c r="D3" s="549" t="s">
        <v>371</v>
      </c>
      <c r="E3" s="549" t="s">
        <v>372</v>
      </c>
      <c r="F3" s="515" t="s">
        <v>412</v>
      </c>
      <c r="G3" s="515" t="s">
        <v>413</v>
      </c>
    </row>
    <row r="4" spans="1:7" ht="15.75">
      <c r="A4" s="549">
        <v>1</v>
      </c>
      <c r="B4" s="549">
        <v>2</v>
      </c>
      <c r="C4" s="549">
        <v>3</v>
      </c>
      <c r="D4" s="549">
        <v>4</v>
      </c>
      <c r="E4" s="549">
        <v>5</v>
      </c>
      <c r="F4" s="512">
        <v>6</v>
      </c>
      <c r="G4" s="512">
        <v>7</v>
      </c>
    </row>
    <row r="5" spans="1:7" ht="15.75">
      <c r="A5" s="543" t="s">
        <v>373</v>
      </c>
      <c r="B5" s="544" t="s">
        <v>374</v>
      </c>
      <c r="C5" s="547">
        <v>1548341</v>
      </c>
      <c r="D5" s="547">
        <v>-548520</v>
      </c>
      <c r="E5" s="547">
        <v>999821</v>
      </c>
      <c r="F5" s="513">
        <f aca="true" t="shared" si="0" ref="F5:F13">E5-C5</f>
        <v>-548520</v>
      </c>
      <c r="G5" s="514">
        <f>E5/C5</f>
        <v>0.6457369532938804</v>
      </c>
    </row>
    <row r="6" spans="1:7" ht="15.75">
      <c r="A6" s="545" t="s">
        <v>375</v>
      </c>
      <c r="B6" s="546" t="s">
        <v>376</v>
      </c>
      <c r="C6" s="548">
        <v>1548341</v>
      </c>
      <c r="D6" s="547">
        <v>-548520</v>
      </c>
      <c r="E6" s="548">
        <v>999821</v>
      </c>
      <c r="F6" s="513">
        <f t="shared" si="0"/>
        <v>-548520</v>
      </c>
      <c r="G6" s="514">
        <f aca="true" t="shared" si="1" ref="G6:G48">E6/C6</f>
        <v>0.6457369532938804</v>
      </c>
    </row>
    <row r="7" spans="1:7" ht="25.5">
      <c r="A7" s="545">
        <v>29</v>
      </c>
      <c r="B7" s="546" t="s">
        <v>377</v>
      </c>
      <c r="C7" s="548">
        <v>1548341</v>
      </c>
      <c r="D7" s="554">
        <v>-548520</v>
      </c>
      <c r="E7" s="548">
        <v>999821</v>
      </c>
      <c r="F7" s="513">
        <f t="shared" si="0"/>
        <v>-548520</v>
      </c>
      <c r="G7" s="514">
        <f t="shared" si="1"/>
        <v>0.6457369532938804</v>
      </c>
    </row>
    <row r="8" spans="1:7" ht="15.75">
      <c r="A8" s="543">
        <v>49</v>
      </c>
      <c r="B8" s="544" t="s">
        <v>378</v>
      </c>
      <c r="C8" s="547">
        <v>136325</v>
      </c>
      <c r="D8" s="547">
        <v>123195</v>
      </c>
      <c r="E8" s="547">
        <v>259520</v>
      </c>
      <c r="F8" s="513">
        <f t="shared" si="0"/>
        <v>123195</v>
      </c>
      <c r="G8" s="514">
        <f t="shared" si="1"/>
        <v>1.9036860443792407</v>
      </c>
    </row>
    <row r="9" spans="1:7" ht="25.5">
      <c r="A9" s="545">
        <v>52</v>
      </c>
      <c r="B9" s="546" t="s">
        <v>379</v>
      </c>
      <c r="C9" s="548">
        <v>136325</v>
      </c>
      <c r="D9" s="547">
        <v>123195</v>
      </c>
      <c r="E9" s="548">
        <v>259520</v>
      </c>
      <c r="F9" s="513">
        <f t="shared" si="0"/>
        <v>123195</v>
      </c>
      <c r="G9" s="514">
        <f t="shared" si="1"/>
        <v>1.9036860443792407</v>
      </c>
    </row>
    <row r="10" spans="1:7" ht="15.75">
      <c r="A10" s="543">
        <v>53</v>
      </c>
      <c r="B10" s="544" t="s">
        <v>380</v>
      </c>
      <c r="C10" s="547">
        <v>17766629</v>
      </c>
      <c r="D10" s="547">
        <v>10771459</v>
      </c>
      <c r="E10" s="547">
        <v>28538088</v>
      </c>
      <c r="F10" s="513">
        <f t="shared" si="0"/>
        <v>10771459</v>
      </c>
      <c r="G10" s="514">
        <f t="shared" si="1"/>
        <v>1.6062747750290727</v>
      </c>
    </row>
    <row r="11" spans="1:7" ht="15.75">
      <c r="A11" s="545">
        <v>55</v>
      </c>
      <c r="B11" s="546" t="s">
        <v>381</v>
      </c>
      <c r="C11" s="548">
        <v>17766629</v>
      </c>
      <c r="D11" s="547">
        <v>10771459</v>
      </c>
      <c r="E11" s="548">
        <v>28538088</v>
      </c>
      <c r="F11" s="513">
        <f t="shared" si="0"/>
        <v>10771459</v>
      </c>
      <c r="G11" s="514">
        <f t="shared" si="1"/>
        <v>1.6062747750290727</v>
      </c>
    </row>
    <row r="12" spans="1:7" ht="15.75">
      <c r="A12" s="545">
        <v>59</v>
      </c>
      <c r="B12" s="546" t="s">
        <v>382</v>
      </c>
      <c r="C12" s="548">
        <v>17902954</v>
      </c>
      <c r="D12" s="548">
        <v>10894654</v>
      </c>
      <c r="E12" s="548">
        <v>28797608</v>
      </c>
      <c r="F12" s="513">
        <f t="shared" si="0"/>
        <v>10894654</v>
      </c>
      <c r="G12" s="514">
        <f t="shared" si="1"/>
        <v>1.6085394622585747</v>
      </c>
    </row>
    <row r="13" spans="1:7" ht="25.5">
      <c r="A13" s="543">
        <v>71</v>
      </c>
      <c r="B13" s="544" t="s">
        <v>383</v>
      </c>
      <c r="C13" s="547">
        <v>4611464</v>
      </c>
      <c r="D13" s="547">
        <v>-1268585</v>
      </c>
      <c r="E13" s="547">
        <v>3342879</v>
      </c>
      <c r="F13" s="513">
        <f t="shared" si="0"/>
        <v>-1268585</v>
      </c>
      <c r="G13" s="514">
        <v>0</v>
      </c>
    </row>
    <row r="14" spans="1:7" ht="38.25">
      <c r="A14" s="543">
        <v>72</v>
      </c>
      <c r="B14" s="544" t="s">
        <v>384</v>
      </c>
      <c r="C14" s="547">
        <v>52149</v>
      </c>
      <c r="D14" s="547">
        <v>-16260</v>
      </c>
      <c r="E14" s="547">
        <v>35889</v>
      </c>
      <c r="F14" s="513">
        <f>E14-C14</f>
        <v>-16260</v>
      </c>
      <c r="G14" s="514">
        <v>0</v>
      </c>
    </row>
    <row r="15" spans="1:7" ht="25.5">
      <c r="A15" s="543">
        <v>74</v>
      </c>
      <c r="B15" s="552" t="s">
        <v>420</v>
      </c>
      <c r="C15" s="547">
        <v>1450878</v>
      </c>
      <c r="D15" s="547">
        <v>-22869</v>
      </c>
      <c r="E15" s="547">
        <v>1428009</v>
      </c>
      <c r="F15" s="513">
        <f>E15-C15</f>
        <v>-22869</v>
      </c>
      <c r="G15" s="514">
        <v>0</v>
      </c>
    </row>
    <row r="16" spans="1:7" ht="25.5">
      <c r="A16" s="543">
        <v>75</v>
      </c>
      <c r="B16" s="544" t="s">
        <v>385</v>
      </c>
      <c r="C16" s="547">
        <v>343861</v>
      </c>
      <c r="D16" s="547">
        <v>-17464</v>
      </c>
      <c r="E16" s="547">
        <v>326397</v>
      </c>
      <c r="F16" s="513">
        <f aca="true" t="shared" si="2" ref="F16:F43">E16-C16</f>
        <v>-17464</v>
      </c>
      <c r="G16" s="514">
        <v>0</v>
      </c>
    </row>
    <row r="17" spans="1:7" ht="25.5">
      <c r="A17" s="543">
        <v>76</v>
      </c>
      <c r="B17" s="544" t="s">
        <v>386</v>
      </c>
      <c r="C17" s="547">
        <v>2764576</v>
      </c>
      <c r="D17" s="547">
        <v>-1211992</v>
      </c>
      <c r="E17" s="547">
        <v>1552584</v>
      </c>
      <c r="F17" s="513">
        <f t="shared" si="2"/>
        <v>-1211992</v>
      </c>
      <c r="G17" s="514">
        <v>0</v>
      </c>
    </row>
    <row r="18" spans="1:7" ht="25.5">
      <c r="A18" s="545">
        <v>103</v>
      </c>
      <c r="B18" s="546" t="s">
        <v>387</v>
      </c>
      <c r="C18" s="548">
        <v>4611464</v>
      </c>
      <c r="D18" s="548">
        <v>-1268585</v>
      </c>
      <c r="E18" s="548">
        <v>3342879</v>
      </c>
      <c r="F18" s="513">
        <f t="shared" si="2"/>
        <v>-1268585</v>
      </c>
      <c r="G18" s="514">
        <v>0</v>
      </c>
    </row>
    <row r="19" spans="1:7" ht="25.5">
      <c r="A19" s="543">
        <v>116</v>
      </c>
      <c r="B19" s="544" t="s">
        <v>414</v>
      </c>
      <c r="C19" s="547">
        <v>0</v>
      </c>
      <c r="D19" s="547">
        <v>0</v>
      </c>
      <c r="E19" s="547">
        <v>0</v>
      </c>
      <c r="F19" s="513">
        <f t="shared" si="2"/>
        <v>0</v>
      </c>
      <c r="G19" s="514">
        <v>0</v>
      </c>
    </row>
    <row r="20" spans="1:7" ht="38.25">
      <c r="A20" s="543">
        <v>117</v>
      </c>
      <c r="B20" s="544" t="s">
        <v>415</v>
      </c>
      <c r="C20" s="547">
        <v>0</v>
      </c>
      <c r="D20" s="547">
        <v>0</v>
      </c>
      <c r="E20" s="547">
        <v>0</v>
      </c>
      <c r="F20" s="513">
        <f t="shared" si="2"/>
        <v>0</v>
      </c>
      <c r="G20" s="514">
        <v>0</v>
      </c>
    </row>
    <row r="21" spans="1:7" ht="25.5">
      <c r="A21" s="543">
        <v>119</v>
      </c>
      <c r="B21" s="544" t="s">
        <v>416</v>
      </c>
      <c r="C21" s="547">
        <v>0</v>
      </c>
      <c r="D21" s="547">
        <v>0</v>
      </c>
      <c r="E21" s="547">
        <v>0</v>
      </c>
      <c r="F21" s="513">
        <f t="shared" si="2"/>
        <v>0</v>
      </c>
      <c r="G21" s="514">
        <v>0</v>
      </c>
    </row>
    <row r="22" spans="1:7" ht="25.5">
      <c r="A22" s="545">
        <v>145</v>
      </c>
      <c r="B22" s="546" t="s">
        <v>417</v>
      </c>
      <c r="C22" s="548">
        <v>0</v>
      </c>
      <c r="D22" s="548">
        <v>0</v>
      </c>
      <c r="E22" s="548">
        <v>0</v>
      </c>
      <c r="F22" s="513">
        <f t="shared" si="2"/>
        <v>0</v>
      </c>
      <c r="G22" s="514">
        <v>0</v>
      </c>
    </row>
    <row r="23" spans="1:7" ht="15.75">
      <c r="A23" s="545">
        <v>161</v>
      </c>
      <c r="B23" s="546" t="s">
        <v>388</v>
      </c>
      <c r="C23" s="548">
        <v>4611464</v>
      </c>
      <c r="D23" s="548">
        <v>-1268585</v>
      </c>
      <c r="E23" s="548">
        <v>3342879</v>
      </c>
      <c r="F23" s="513">
        <f t="shared" si="2"/>
        <v>-1268585</v>
      </c>
      <c r="G23" s="514">
        <v>0</v>
      </c>
    </row>
    <row r="24" spans="1:7" ht="25.5">
      <c r="A24" s="543">
        <v>163</v>
      </c>
      <c r="B24" s="544" t="s">
        <v>389</v>
      </c>
      <c r="C24" s="547">
        <v>2143421</v>
      </c>
      <c r="D24" s="547">
        <v>-217912</v>
      </c>
      <c r="E24" s="547">
        <v>1925509</v>
      </c>
      <c r="F24" s="513">
        <f t="shared" si="2"/>
        <v>-217912</v>
      </c>
      <c r="G24" s="514">
        <f t="shared" si="1"/>
        <v>0.8983344849192016</v>
      </c>
    </row>
    <row r="25" spans="1:7" ht="25.5">
      <c r="A25" s="543">
        <v>165</v>
      </c>
      <c r="B25" s="544" t="s">
        <v>418</v>
      </c>
      <c r="C25" s="547">
        <v>0</v>
      </c>
      <c r="D25" s="547">
        <v>0</v>
      </c>
      <c r="E25" s="547">
        <v>0</v>
      </c>
      <c r="F25" s="513">
        <f t="shared" si="2"/>
        <v>0</v>
      </c>
      <c r="G25" s="514">
        <v>0</v>
      </c>
    </row>
    <row r="26" spans="1:7" ht="25.5">
      <c r="A26" s="545">
        <v>166</v>
      </c>
      <c r="B26" s="546" t="s">
        <v>390</v>
      </c>
      <c r="C26" s="548">
        <v>2143421</v>
      </c>
      <c r="D26" s="548">
        <v>-1217912</v>
      </c>
      <c r="E26" s="548">
        <v>925509</v>
      </c>
      <c r="F26" s="513">
        <f t="shared" si="2"/>
        <v>-1217912</v>
      </c>
      <c r="G26" s="514">
        <f t="shared" si="1"/>
        <v>0.43179058150498667</v>
      </c>
    </row>
    <row r="27" spans="1:7" ht="15.75">
      <c r="A27" s="543">
        <v>168</v>
      </c>
      <c r="B27" s="544" t="s">
        <v>391</v>
      </c>
      <c r="C27" s="547">
        <v>-1115307</v>
      </c>
      <c r="D27" s="547">
        <v>67206</v>
      </c>
      <c r="E27" s="547">
        <v>-1048101</v>
      </c>
      <c r="F27" s="513">
        <f t="shared" si="2"/>
        <v>67206</v>
      </c>
      <c r="G27" s="514">
        <f t="shared" si="1"/>
        <v>0.9397421517124881</v>
      </c>
    </row>
    <row r="28" spans="1:7" ht="25.5">
      <c r="A28" s="545">
        <v>169</v>
      </c>
      <c r="B28" s="546" t="s">
        <v>392</v>
      </c>
      <c r="C28" s="548">
        <v>-1115307</v>
      </c>
      <c r="D28" s="548">
        <v>67206</v>
      </c>
      <c r="E28" s="548">
        <v>-1048101</v>
      </c>
      <c r="F28" s="513">
        <f t="shared" si="2"/>
        <v>67206</v>
      </c>
      <c r="G28" s="514">
        <f t="shared" si="1"/>
        <v>0.9397421517124881</v>
      </c>
    </row>
    <row r="29" spans="1:7" ht="15.75">
      <c r="A29" s="543">
        <v>170</v>
      </c>
      <c r="B29" s="544" t="s">
        <v>393</v>
      </c>
      <c r="C29" s="547">
        <v>102027</v>
      </c>
      <c r="D29" s="547">
        <v>41263</v>
      </c>
      <c r="E29" s="547">
        <v>143290</v>
      </c>
      <c r="F29" s="513">
        <f t="shared" si="2"/>
        <v>41263</v>
      </c>
      <c r="G29" s="514">
        <f t="shared" si="1"/>
        <v>1.4044321601144796</v>
      </c>
    </row>
    <row r="30" spans="1:7" ht="25.5">
      <c r="A30" s="545">
        <v>172</v>
      </c>
      <c r="B30" s="546" t="s">
        <v>394</v>
      </c>
      <c r="C30" s="548">
        <v>102027</v>
      </c>
      <c r="D30" s="548">
        <v>41263</v>
      </c>
      <c r="E30" s="548">
        <v>143290</v>
      </c>
      <c r="F30" s="513">
        <f t="shared" si="2"/>
        <v>41263</v>
      </c>
      <c r="G30" s="514">
        <f t="shared" si="1"/>
        <v>1.4044321601144796</v>
      </c>
    </row>
    <row r="31" spans="1:7" ht="15.75">
      <c r="A31" s="545">
        <v>173</v>
      </c>
      <c r="B31" s="546" t="s">
        <v>395</v>
      </c>
      <c r="C31" s="548">
        <v>1130141</v>
      </c>
      <c r="D31" s="548">
        <v>-109443</v>
      </c>
      <c r="E31" s="548">
        <v>1020698</v>
      </c>
      <c r="F31" s="513">
        <f t="shared" si="2"/>
        <v>-109443</v>
      </c>
      <c r="G31" s="514">
        <f t="shared" si="1"/>
        <v>0.903159871201912</v>
      </c>
    </row>
    <row r="32" spans="1:7" ht="15.75">
      <c r="A32" s="543">
        <v>175</v>
      </c>
      <c r="B32" s="544" t="s">
        <v>396</v>
      </c>
      <c r="C32" s="547">
        <v>17048</v>
      </c>
      <c r="D32" s="547">
        <v>37447</v>
      </c>
      <c r="E32" s="547">
        <v>54495</v>
      </c>
      <c r="F32" s="513">
        <f t="shared" si="2"/>
        <v>37447</v>
      </c>
      <c r="G32" s="514">
        <f t="shared" si="1"/>
        <v>3.1965626466447676</v>
      </c>
    </row>
    <row r="33" spans="1:7" ht="15.75">
      <c r="A33" s="545">
        <v>177</v>
      </c>
      <c r="B33" s="546" t="s">
        <v>397</v>
      </c>
      <c r="C33" s="548">
        <v>17048</v>
      </c>
      <c r="D33" s="548">
        <v>37447</v>
      </c>
      <c r="E33" s="548">
        <v>54495</v>
      </c>
      <c r="F33" s="513">
        <f t="shared" si="2"/>
        <v>37447</v>
      </c>
      <c r="G33" s="514">
        <f t="shared" si="1"/>
        <v>3.1965626466447676</v>
      </c>
    </row>
    <row r="34" spans="1:7" ht="15.75">
      <c r="A34" s="545">
        <v>178</v>
      </c>
      <c r="B34" s="546" t="s">
        <v>398</v>
      </c>
      <c r="C34" s="548">
        <v>25209948</v>
      </c>
      <c r="D34" s="548">
        <v>9005553</v>
      </c>
      <c r="E34" s="548">
        <v>34215501</v>
      </c>
      <c r="F34" s="513">
        <f t="shared" si="2"/>
        <v>9005553</v>
      </c>
      <c r="G34" s="514">
        <f t="shared" si="1"/>
        <v>1.3572221965709728</v>
      </c>
    </row>
    <row r="35" spans="1:7" ht="15.75">
      <c r="A35" s="543">
        <v>179</v>
      </c>
      <c r="B35" s="544" t="s">
        <v>399</v>
      </c>
      <c r="C35" s="547">
        <v>2030771</v>
      </c>
      <c r="D35" s="547">
        <v>0</v>
      </c>
      <c r="E35" s="547">
        <v>2030771</v>
      </c>
      <c r="F35" s="513">
        <f t="shared" si="2"/>
        <v>0</v>
      </c>
      <c r="G35" s="514">
        <f t="shared" si="1"/>
        <v>1</v>
      </c>
    </row>
    <row r="36" spans="1:7" ht="15.75">
      <c r="A36" s="543">
        <v>182</v>
      </c>
      <c r="B36" s="544" t="s">
        <v>400</v>
      </c>
      <c r="C36" s="547">
        <v>11681965</v>
      </c>
      <c r="D36" s="547">
        <v>-6452575</v>
      </c>
      <c r="E36" s="547">
        <v>5229390</v>
      </c>
      <c r="F36" s="513">
        <f t="shared" si="2"/>
        <v>-6452575</v>
      </c>
      <c r="G36" s="514">
        <f t="shared" si="1"/>
        <v>0.4476464361945957</v>
      </c>
    </row>
    <row r="37" spans="1:7" ht="15.75">
      <c r="A37" s="543">
        <v>184</v>
      </c>
      <c r="B37" s="544" t="s">
        <v>401</v>
      </c>
      <c r="C37" s="547">
        <v>-6452575</v>
      </c>
      <c r="D37" s="547">
        <v>17968006</v>
      </c>
      <c r="E37" s="547">
        <v>11515431</v>
      </c>
      <c r="F37" s="513">
        <f t="shared" si="2"/>
        <v>17968006</v>
      </c>
      <c r="G37" s="514">
        <f t="shared" si="1"/>
        <v>-1.784625672696559</v>
      </c>
    </row>
    <row r="38" spans="1:7" ht="15.75">
      <c r="A38" s="545">
        <v>185</v>
      </c>
      <c r="B38" s="546" t="s">
        <v>402</v>
      </c>
      <c r="C38" s="548">
        <v>7260161</v>
      </c>
      <c r="D38" s="548">
        <v>11515431</v>
      </c>
      <c r="E38" s="548">
        <v>18775592</v>
      </c>
      <c r="F38" s="513">
        <f t="shared" si="2"/>
        <v>11515431</v>
      </c>
      <c r="G38" s="514">
        <f t="shared" si="1"/>
        <v>2.586112346544381</v>
      </c>
    </row>
    <row r="39" spans="1:7" ht="25.5">
      <c r="A39" s="543">
        <v>188</v>
      </c>
      <c r="B39" s="544" t="s">
        <v>403</v>
      </c>
      <c r="C39" s="547">
        <v>2320994</v>
      </c>
      <c r="D39" s="547">
        <v>-1140939</v>
      </c>
      <c r="E39" s="547">
        <v>1180055</v>
      </c>
      <c r="F39" s="513">
        <f t="shared" si="2"/>
        <v>-1140939</v>
      </c>
      <c r="G39" s="514">
        <v>0</v>
      </c>
    </row>
    <row r="40" spans="1:7" ht="25.5">
      <c r="A40" s="545">
        <v>211</v>
      </c>
      <c r="B40" s="546" t="s">
        <v>404</v>
      </c>
      <c r="C40" s="548">
        <v>2320994</v>
      </c>
      <c r="D40" s="548">
        <v>-1140939</v>
      </c>
      <c r="E40" s="548">
        <v>1180055</v>
      </c>
      <c r="F40" s="513">
        <f t="shared" si="2"/>
        <v>-1140939</v>
      </c>
      <c r="G40" s="514">
        <v>0</v>
      </c>
    </row>
    <row r="41" spans="1:7" ht="25.5">
      <c r="A41" s="543">
        <v>214</v>
      </c>
      <c r="B41" s="544" t="s">
        <v>405</v>
      </c>
      <c r="C41" s="547">
        <v>5497007</v>
      </c>
      <c r="D41" s="547">
        <v>-422497</v>
      </c>
      <c r="E41" s="547">
        <v>5074510</v>
      </c>
      <c r="F41" s="513">
        <f t="shared" si="2"/>
        <v>-422497</v>
      </c>
      <c r="G41" s="514">
        <f t="shared" si="1"/>
        <v>0.9231405381146504</v>
      </c>
    </row>
    <row r="42" spans="1:7" ht="25.5">
      <c r="A42" s="545">
        <v>235</v>
      </c>
      <c r="B42" s="546" t="s">
        <v>406</v>
      </c>
      <c r="C42" s="548">
        <v>5497007</v>
      </c>
      <c r="D42" s="548">
        <v>-422497</v>
      </c>
      <c r="E42" s="548">
        <v>5074510</v>
      </c>
      <c r="F42" s="513">
        <f t="shared" si="2"/>
        <v>-422497</v>
      </c>
      <c r="G42" s="514">
        <f t="shared" si="1"/>
        <v>0.9231405381146504</v>
      </c>
    </row>
    <row r="43" spans="1:7" ht="15.75">
      <c r="A43" s="545">
        <v>236</v>
      </c>
      <c r="B43" s="552" t="s">
        <v>419</v>
      </c>
      <c r="C43" s="553">
        <v>0</v>
      </c>
      <c r="D43" s="553">
        <v>0</v>
      </c>
      <c r="E43" s="553">
        <v>0</v>
      </c>
      <c r="F43" s="513">
        <f t="shared" si="2"/>
        <v>0</v>
      </c>
      <c r="G43" s="514">
        <v>0</v>
      </c>
    </row>
    <row r="44" spans="1:7" ht="25.5">
      <c r="A44" s="545">
        <v>245</v>
      </c>
      <c r="B44" s="556" t="s">
        <v>421</v>
      </c>
      <c r="C44" s="554">
        <v>0</v>
      </c>
      <c r="D44" s="554">
        <v>0</v>
      </c>
      <c r="E44" s="554">
        <v>0</v>
      </c>
      <c r="F44" s="513"/>
      <c r="G44" s="514"/>
    </row>
    <row r="45" spans="1:7" ht="15.75">
      <c r="A45" s="545">
        <v>246</v>
      </c>
      <c r="B45" s="546" t="s">
        <v>407</v>
      </c>
      <c r="C45" s="548">
        <v>7818001</v>
      </c>
      <c r="D45" s="548">
        <v>-1563436</v>
      </c>
      <c r="E45" s="548">
        <v>6254565</v>
      </c>
      <c r="F45" s="513">
        <f>E45-C45</f>
        <v>-1563436</v>
      </c>
      <c r="G45" s="514">
        <f t="shared" si="1"/>
        <v>0.8000210028113325</v>
      </c>
    </row>
    <row r="46" spans="1:7" ht="15.75">
      <c r="A46" s="543">
        <v>249</v>
      </c>
      <c r="B46" s="544" t="s">
        <v>408</v>
      </c>
      <c r="C46" s="547">
        <v>10131786</v>
      </c>
      <c r="D46" s="547">
        <v>-946442</v>
      </c>
      <c r="E46" s="547">
        <v>9185344</v>
      </c>
      <c r="F46" s="513">
        <f>E46-C46</f>
        <v>-946442</v>
      </c>
      <c r="G46" s="514">
        <f t="shared" si="1"/>
        <v>0.9065868544795558</v>
      </c>
    </row>
    <row r="47" spans="1:7" ht="15.75">
      <c r="A47" s="545">
        <v>251</v>
      </c>
      <c r="B47" s="546" t="s">
        <v>409</v>
      </c>
      <c r="C47" s="548">
        <v>10131786</v>
      </c>
      <c r="D47" s="548">
        <v>-946442</v>
      </c>
      <c r="E47" s="548">
        <v>9185344</v>
      </c>
      <c r="F47" s="513">
        <f>E47-C47</f>
        <v>-946442</v>
      </c>
      <c r="G47" s="514">
        <f t="shared" si="1"/>
        <v>0.9065868544795558</v>
      </c>
    </row>
    <row r="48" spans="1:7" ht="15.75">
      <c r="A48" s="545">
        <v>252</v>
      </c>
      <c r="B48" s="546" t="s">
        <v>410</v>
      </c>
      <c r="C48" s="548">
        <v>25209948</v>
      </c>
      <c r="D48" s="548">
        <v>9005553</v>
      </c>
      <c r="E48" s="548">
        <v>34215501</v>
      </c>
      <c r="F48" s="513">
        <f>E48-C48</f>
        <v>9005553</v>
      </c>
      <c r="G48" s="514">
        <f t="shared" si="1"/>
        <v>1.3572221965709728</v>
      </c>
    </row>
  </sheetData>
  <sheetProtection/>
  <mergeCells count="1">
    <mergeCell ref="A1:E1"/>
  </mergeCells>
  <printOptions horizontalCentered="1"/>
  <pageMargins left="0.3937007874015748" right="0.4330708661417323" top="1.1023622047244095" bottom="0.984251968503937" header="0.7874015748031497" footer="0.7874015748031497"/>
  <pageSetup fitToHeight="1" fitToWidth="1" horizontalDpi="300" verticalDpi="300" orientation="portrait" paperSize="9" scale="7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20" zoomScaleNormal="120" workbookViewId="0" topLeftCell="A1">
      <selection activeCell="F6" sqref="F6"/>
    </sheetView>
  </sheetViews>
  <sheetFormatPr defaultColWidth="12.00390625" defaultRowHeight="12.75"/>
  <cols>
    <col min="1" max="1" width="55.875" style="344" customWidth="1"/>
    <col min="2" max="2" width="6.875" style="344" customWidth="1"/>
    <col min="3" max="4" width="15.875" style="344" customWidth="1"/>
    <col min="5" max="16384" width="12.00390625" style="344" customWidth="1"/>
  </cols>
  <sheetData>
    <row r="1" spans="1:4" ht="15.75">
      <c r="A1" s="561" t="str">
        <f>CONCATENATE("4.2. tájékoztató tábla"," ",ALAPADATOK!A7," ",ALAPADATOK!B7," ",ALAPADATOK!C7," ",ALAPADATOK!D7," ",ALAPADATOK!E7," ",ALAPADATOK!F7," ",ALAPADATOK!G7," ",ALAPADATOK!H7)</f>
        <v>4.2. tájékoztató tábla a … / 2024. ( … ) önkormányzati határozathoz</v>
      </c>
      <c r="B1" s="561"/>
      <c r="C1" s="561"/>
      <c r="D1" s="561"/>
    </row>
    <row r="2" spans="1:4" ht="12" customHeight="1">
      <c r="A2" s="485"/>
      <c r="B2" s="485"/>
      <c r="C2" s="485"/>
      <c r="D2" s="485"/>
    </row>
    <row r="3" spans="1:4" ht="48" customHeight="1">
      <c r="A3" s="674" t="str">
        <f>+CONCATENATE("VAGYONKIMUTATÁS",CHAR(10),"az érték nélkül nyilvántartott eszközökről",CHAR(10),LEFT('1. sz. mell.'!C8,4),".")</f>
        <v>VAGYONKIMUTATÁS
az érték nélkül nyilvántartott eszközökről
2023.</v>
      </c>
      <c r="B3" s="675"/>
      <c r="C3" s="675"/>
      <c r="D3" s="675"/>
    </row>
    <row r="4" spans="1:4" ht="12" customHeight="1" thickBot="1">
      <c r="A4" s="485"/>
      <c r="B4" s="485"/>
      <c r="C4" s="485"/>
      <c r="D4" s="485"/>
    </row>
    <row r="5" spans="1:4" ht="43.5" customHeight="1" thickBot="1">
      <c r="A5" s="488" t="s">
        <v>42</v>
      </c>
      <c r="B5" s="487" t="s">
        <v>295</v>
      </c>
      <c r="C5" s="489" t="s">
        <v>298</v>
      </c>
      <c r="D5" s="490" t="s">
        <v>334</v>
      </c>
    </row>
    <row r="6" spans="1:4" ht="16.5" thickBot="1">
      <c r="A6" s="345" t="s">
        <v>249</v>
      </c>
      <c r="B6" s="346" t="s">
        <v>250</v>
      </c>
      <c r="C6" s="346" t="s">
        <v>251</v>
      </c>
      <c r="D6" s="347" t="s">
        <v>252</v>
      </c>
    </row>
    <row r="7" spans="1:4" ht="15.75" customHeight="1">
      <c r="A7" s="348" t="s">
        <v>299</v>
      </c>
      <c r="B7" s="349" t="s">
        <v>4</v>
      </c>
      <c r="C7" s="350"/>
      <c r="D7" s="351"/>
    </row>
    <row r="8" spans="1:4" ht="15.75" customHeight="1">
      <c r="A8" s="348" t="s">
        <v>300</v>
      </c>
      <c r="B8" s="352" t="s">
        <v>5</v>
      </c>
      <c r="C8" s="353"/>
      <c r="D8" s="354"/>
    </row>
    <row r="9" spans="1:4" ht="15.75" customHeight="1">
      <c r="A9" s="348" t="s">
        <v>301</v>
      </c>
      <c r="B9" s="352" t="s">
        <v>6</v>
      </c>
      <c r="C9" s="353"/>
      <c r="D9" s="354"/>
    </row>
    <row r="10" spans="1:4" ht="15.75" customHeight="1" thickBot="1">
      <c r="A10" s="355" t="s">
        <v>302</v>
      </c>
      <c r="B10" s="356" t="s">
        <v>7</v>
      </c>
      <c r="C10" s="357"/>
      <c r="D10" s="358"/>
    </row>
    <row r="11" spans="1:4" ht="15.75" customHeight="1" thickBot="1">
      <c r="A11" s="359" t="s">
        <v>303</v>
      </c>
      <c r="B11" s="360" t="s">
        <v>8</v>
      </c>
      <c r="C11" s="361"/>
      <c r="D11" s="362">
        <f>+D12+D13+D14+D15</f>
        <v>4525095</v>
      </c>
    </row>
    <row r="12" spans="1:4" ht="15.75" customHeight="1">
      <c r="A12" s="363" t="s">
        <v>304</v>
      </c>
      <c r="B12" s="349" t="s">
        <v>9</v>
      </c>
      <c r="C12" s="350"/>
      <c r="D12" s="351">
        <v>4525095</v>
      </c>
    </row>
    <row r="13" spans="1:4" ht="15.75" customHeight="1">
      <c r="A13" s="348" t="s">
        <v>305</v>
      </c>
      <c r="B13" s="352" t="s">
        <v>10</v>
      </c>
      <c r="C13" s="353"/>
      <c r="D13" s="354"/>
    </row>
    <row r="14" spans="1:4" ht="15.75" customHeight="1">
      <c r="A14" s="348" t="s">
        <v>306</v>
      </c>
      <c r="B14" s="352" t="s">
        <v>11</v>
      </c>
      <c r="C14" s="353"/>
      <c r="D14" s="354"/>
    </row>
    <row r="15" spans="1:4" ht="15.75" customHeight="1" thickBot="1">
      <c r="A15" s="355" t="s">
        <v>307</v>
      </c>
      <c r="B15" s="356" t="s">
        <v>12</v>
      </c>
      <c r="C15" s="357"/>
      <c r="D15" s="358"/>
    </row>
    <row r="16" spans="1:4" ht="15.75" customHeight="1" thickBot="1">
      <c r="A16" s="359" t="s">
        <v>308</v>
      </c>
      <c r="B16" s="360" t="s">
        <v>13</v>
      </c>
      <c r="C16" s="361"/>
      <c r="D16" s="362">
        <f>+D17+D18+D19</f>
        <v>0</v>
      </c>
    </row>
    <row r="17" spans="1:4" ht="15.75" customHeight="1">
      <c r="A17" s="363" t="s">
        <v>309</v>
      </c>
      <c r="B17" s="349" t="s">
        <v>14</v>
      </c>
      <c r="C17" s="350"/>
      <c r="D17" s="351"/>
    </row>
    <row r="18" spans="1:4" ht="15.75" customHeight="1">
      <c r="A18" s="348" t="s">
        <v>310</v>
      </c>
      <c r="B18" s="352" t="s">
        <v>15</v>
      </c>
      <c r="C18" s="353"/>
      <c r="D18" s="354"/>
    </row>
    <row r="19" spans="1:4" ht="15.75" customHeight="1" thickBot="1">
      <c r="A19" s="355" t="s">
        <v>311</v>
      </c>
      <c r="B19" s="356" t="s">
        <v>16</v>
      </c>
      <c r="C19" s="357"/>
      <c r="D19" s="358"/>
    </row>
    <row r="20" spans="1:4" ht="15.75" customHeight="1" thickBot="1">
      <c r="A20" s="359" t="s">
        <v>312</v>
      </c>
      <c r="B20" s="360" t="s">
        <v>17</v>
      </c>
      <c r="C20" s="361"/>
      <c r="D20" s="362">
        <f>+D21+D22+D23</f>
        <v>0</v>
      </c>
    </row>
    <row r="21" spans="1:4" ht="15.75" customHeight="1">
      <c r="A21" s="363" t="s">
        <v>313</v>
      </c>
      <c r="B21" s="349" t="s">
        <v>18</v>
      </c>
      <c r="C21" s="350"/>
      <c r="D21" s="351"/>
    </row>
    <row r="22" spans="1:4" ht="15.75" customHeight="1">
      <c r="A22" s="348" t="s">
        <v>314</v>
      </c>
      <c r="B22" s="352" t="s">
        <v>19</v>
      </c>
      <c r="C22" s="353"/>
      <c r="D22" s="354"/>
    </row>
    <row r="23" spans="1:4" ht="15.75" customHeight="1">
      <c r="A23" s="348" t="s">
        <v>315</v>
      </c>
      <c r="B23" s="352" t="s">
        <v>20</v>
      </c>
      <c r="C23" s="353"/>
      <c r="D23" s="354"/>
    </row>
    <row r="24" spans="1:4" ht="15.75" customHeight="1">
      <c r="A24" s="348" t="s">
        <v>316</v>
      </c>
      <c r="B24" s="352" t="s">
        <v>21</v>
      </c>
      <c r="C24" s="353"/>
      <c r="D24" s="354"/>
    </row>
    <row r="25" spans="1:4" ht="15.75" customHeight="1">
      <c r="A25" s="348"/>
      <c r="B25" s="352" t="s">
        <v>22</v>
      </c>
      <c r="C25" s="353"/>
      <c r="D25" s="354"/>
    </row>
    <row r="26" spans="1:4" ht="15.75" customHeight="1">
      <c r="A26" s="348"/>
      <c r="B26" s="352" t="s">
        <v>23</v>
      </c>
      <c r="C26" s="353"/>
      <c r="D26" s="354"/>
    </row>
    <row r="27" spans="1:4" ht="15.75" customHeight="1">
      <c r="A27" s="348"/>
      <c r="B27" s="352" t="s">
        <v>24</v>
      </c>
      <c r="C27" s="353"/>
      <c r="D27" s="354"/>
    </row>
    <row r="28" spans="1:4" ht="15.75" customHeight="1">
      <c r="A28" s="348"/>
      <c r="B28" s="352" t="s">
        <v>25</v>
      </c>
      <c r="C28" s="353"/>
      <c r="D28" s="354"/>
    </row>
    <row r="29" spans="1:4" ht="15.75" customHeight="1">
      <c r="A29" s="348"/>
      <c r="B29" s="352" t="s">
        <v>26</v>
      </c>
      <c r="C29" s="353"/>
      <c r="D29" s="354"/>
    </row>
    <row r="30" spans="1:4" ht="15.75" customHeight="1">
      <c r="A30" s="348"/>
      <c r="B30" s="352" t="s">
        <v>27</v>
      </c>
      <c r="C30" s="353"/>
      <c r="D30" s="354"/>
    </row>
    <row r="31" spans="1:4" ht="15.75" customHeight="1">
      <c r="A31" s="348"/>
      <c r="B31" s="352" t="s">
        <v>28</v>
      </c>
      <c r="C31" s="353"/>
      <c r="D31" s="354"/>
    </row>
    <row r="32" spans="1:4" ht="15.75" customHeight="1">
      <c r="A32" s="348"/>
      <c r="B32" s="352" t="s">
        <v>29</v>
      </c>
      <c r="C32" s="353"/>
      <c r="D32" s="354"/>
    </row>
    <row r="33" spans="1:4" ht="15.75" customHeight="1">
      <c r="A33" s="348"/>
      <c r="B33" s="352" t="s">
        <v>30</v>
      </c>
      <c r="C33" s="353"/>
      <c r="D33" s="354"/>
    </row>
    <row r="34" spans="1:4" ht="15.75" customHeight="1">
      <c r="A34" s="348"/>
      <c r="B34" s="352" t="s">
        <v>31</v>
      </c>
      <c r="C34" s="353"/>
      <c r="D34" s="354"/>
    </row>
    <row r="35" spans="1:4" ht="15.75" customHeight="1">
      <c r="A35" s="348"/>
      <c r="B35" s="352" t="s">
        <v>256</v>
      </c>
      <c r="C35" s="353"/>
      <c r="D35" s="354"/>
    </row>
    <row r="36" spans="1:4" ht="15.75" customHeight="1">
      <c r="A36" s="348"/>
      <c r="B36" s="352" t="s">
        <v>257</v>
      </c>
      <c r="C36" s="353"/>
      <c r="D36" s="354"/>
    </row>
    <row r="37" spans="1:4" ht="15.75" customHeight="1">
      <c r="A37" s="348"/>
      <c r="B37" s="352" t="s">
        <v>258</v>
      </c>
      <c r="C37" s="353"/>
      <c r="D37" s="354"/>
    </row>
    <row r="38" spans="1:4" ht="15.75" customHeight="1">
      <c r="A38" s="348"/>
      <c r="B38" s="352" t="s">
        <v>296</v>
      </c>
      <c r="C38" s="353"/>
      <c r="D38" s="354"/>
    </row>
    <row r="39" spans="1:4" ht="15.75" customHeight="1" thickBot="1">
      <c r="A39" s="355"/>
      <c r="B39" s="356" t="s">
        <v>297</v>
      </c>
      <c r="C39" s="357"/>
      <c r="D39" s="358"/>
    </row>
    <row r="40" spans="1:6" ht="15.75" customHeight="1" thickBot="1">
      <c r="A40" s="676" t="s">
        <v>317</v>
      </c>
      <c r="B40" s="677"/>
      <c r="C40" s="364"/>
      <c r="D40" s="362">
        <f>+D7+D8+D9+D10+D11+D16+D20+D24+D25+D26+D27+D28+D29+D30+D31+D32+D33+D34+D35+D36+D37+D38+D39</f>
        <v>4525095</v>
      </c>
      <c r="F40" s="365"/>
    </row>
    <row r="41" ht="15.75">
      <c r="A41" s="366" t="s">
        <v>318</v>
      </c>
    </row>
    <row r="42" spans="1:4" ht="15.75">
      <c r="A42" s="367"/>
      <c r="B42" s="368"/>
      <c r="C42" s="678"/>
      <c r="D42" s="678"/>
    </row>
    <row r="43" spans="1:4" ht="15.75">
      <c r="A43" s="367"/>
      <c r="B43" s="368"/>
      <c r="C43" s="369"/>
      <c r="D43" s="369"/>
    </row>
    <row r="44" spans="1:4" ht="15.75">
      <c r="A44" s="368"/>
      <c r="B44" s="368"/>
      <c r="C44" s="678"/>
      <c r="D44" s="678"/>
    </row>
    <row r="45" spans="1:2" ht="15.75">
      <c r="A45" s="370"/>
      <c r="B45" s="370"/>
    </row>
    <row r="46" spans="1:3" ht="15.75">
      <c r="A46" s="370"/>
      <c r="B46" s="370"/>
      <c r="C46" s="370"/>
    </row>
  </sheetData>
  <sheetProtection/>
  <mergeCells count="5">
    <mergeCell ref="A3:D3"/>
    <mergeCell ref="A40:B40"/>
    <mergeCell ref="C42:D42"/>
    <mergeCell ref="C44:D44"/>
    <mergeCell ref="A1:D1"/>
  </mergeCells>
  <printOptions horizontalCentered="1"/>
  <pageMargins left="0.5905511811023623" right="0.5905511811023623" top="0.9448818897637796" bottom="0.7874015748031497" header="0.5905511811023623" footer="0.590551181102362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="120" zoomScaleNormal="120" workbookViewId="0" topLeftCell="A1">
      <selection activeCell="K21" sqref="K21"/>
    </sheetView>
  </sheetViews>
  <sheetFormatPr defaultColWidth="9.00390625" defaultRowHeight="12.75"/>
  <cols>
    <col min="1" max="1" width="7.875" style="371" customWidth="1"/>
    <col min="2" max="2" width="54.875" style="371" customWidth="1"/>
    <col min="3" max="5" width="23.875" style="371" customWidth="1"/>
    <col min="6" max="6" width="5.50390625" style="371" customWidth="1"/>
    <col min="7" max="16384" width="9.375" style="371" customWidth="1"/>
  </cols>
  <sheetData>
    <row r="1" spans="1:6" ht="12.75">
      <c r="A1" s="491"/>
      <c r="B1" s="492"/>
      <c r="C1" s="492"/>
      <c r="D1" s="492"/>
      <c r="E1" s="492"/>
      <c r="F1" s="679" t="str">
        <f>CONCATENATE("5. tájékoztató tábla"," ",ALAPADATOK!A7," ",ALAPADATOK!B7," ",ALAPADATOK!C7," ",ALAPADATOK!D7," ",ALAPADATOK!E7," ",ALAPADATOK!F7," ",ALAPADATOK!G7," ",ALAPADATOK!H7)</f>
        <v>5. tájékoztató tábla a … / 2024. ( … ) önkormányzati határozathoz</v>
      </c>
    </row>
    <row r="2" spans="1:6" ht="58.5" customHeight="1">
      <c r="A2" s="680" t="str">
        <f>+CONCATENATE("A ",ALAPADATOK!A3," tulajdonában álló gazdálkodó szervezetek működéséből származó ",CHAR(10),"kötelezettségek és részesedések alakulása ",LEFT('1. sz. mell.'!C8,4),". évben")</f>
        <v>A Bátaszék és Környéke Egészségügyi, Szociális és Gyermekjóléti Intézmény–fenntartó Társulás tulajdonában álló gazdálkodó szervezetek működéséből származó 
kötelezettségek és részesedések alakulása 2023. évben</v>
      </c>
      <c r="B2" s="680"/>
      <c r="C2" s="680"/>
      <c r="D2" s="680"/>
      <c r="E2" s="680"/>
      <c r="F2" s="679"/>
    </row>
    <row r="3" spans="1:6" ht="16.5" thickBot="1">
      <c r="A3" s="493"/>
      <c r="B3" s="492"/>
      <c r="C3" s="492"/>
      <c r="D3" s="492"/>
      <c r="E3" s="492"/>
      <c r="F3" s="679"/>
    </row>
    <row r="4" spans="1:6" ht="79.5" thickBot="1">
      <c r="A4" s="494" t="s">
        <v>49</v>
      </c>
      <c r="B4" s="495" t="s">
        <v>319</v>
      </c>
      <c r="C4" s="495" t="s">
        <v>320</v>
      </c>
      <c r="D4" s="495" t="s">
        <v>321</v>
      </c>
      <c r="E4" s="496" t="s">
        <v>322</v>
      </c>
      <c r="F4" s="679"/>
    </row>
    <row r="5" spans="1:6" ht="15.75">
      <c r="A5" s="497" t="s">
        <v>4</v>
      </c>
      <c r="B5" s="373"/>
      <c r="C5" s="374"/>
      <c r="D5" s="375"/>
      <c r="E5" s="376"/>
      <c r="F5" s="679"/>
    </row>
    <row r="6" spans="1:6" ht="15.75">
      <c r="A6" s="498" t="s">
        <v>5</v>
      </c>
      <c r="B6" s="377"/>
      <c r="C6" s="378"/>
      <c r="D6" s="379"/>
      <c r="E6" s="380"/>
      <c r="F6" s="679"/>
    </row>
    <row r="7" spans="1:6" ht="15.75">
      <c r="A7" s="498" t="s">
        <v>6</v>
      </c>
      <c r="B7" s="377"/>
      <c r="C7" s="378"/>
      <c r="D7" s="379"/>
      <c r="E7" s="380"/>
      <c r="F7" s="679"/>
    </row>
    <row r="8" spans="1:6" ht="15.75">
      <c r="A8" s="498" t="s">
        <v>7</v>
      </c>
      <c r="B8" s="377"/>
      <c r="C8" s="378"/>
      <c r="D8" s="379"/>
      <c r="E8" s="380"/>
      <c r="F8" s="679"/>
    </row>
    <row r="9" spans="1:6" ht="15.75">
      <c r="A9" s="498" t="s">
        <v>8</v>
      </c>
      <c r="B9" s="377"/>
      <c r="C9" s="378"/>
      <c r="D9" s="379"/>
      <c r="E9" s="380"/>
      <c r="F9" s="679"/>
    </row>
    <row r="10" spans="1:6" ht="15.75">
      <c r="A10" s="498" t="s">
        <v>9</v>
      </c>
      <c r="B10" s="377"/>
      <c r="C10" s="378"/>
      <c r="D10" s="379"/>
      <c r="E10" s="380"/>
      <c r="F10" s="679"/>
    </row>
    <row r="11" spans="1:6" ht="15.75">
      <c r="A11" s="498" t="s">
        <v>10</v>
      </c>
      <c r="B11" s="377"/>
      <c r="C11" s="378"/>
      <c r="D11" s="379"/>
      <c r="E11" s="380"/>
      <c r="F11" s="679"/>
    </row>
    <row r="12" spans="1:6" ht="15.75">
      <c r="A12" s="498" t="s">
        <v>11</v>
      </c>
      <c r="B12" s="377"/>
      <c r="C12" s="378"/>
      <c r="D12" s="379"/>
      <c r="E12" s="380"/>
      <c r="F12" s="679"/>
    </row>
    <row r="13" spans="1:6" ht="15.75">
      <c r="A13" s="498" t="s">
        <v>12</v>
      </c>
      <c r="B13" s="377"/>
      <c r="C13" s="378"/>
      <c r="D13" s="379"/>
      <c r="E13" s="380"/>
      <c r="F13" s="679"/>
    </row>
    <row r="14" spans="1:6" ht="15.75">
      <c r="A14" s="498" t="s">
        <v>13</v>
      </c>
      <c r="B14" s="377"/>
      <c r="C14" s="378"/>
      <c r="D14" s="379"/>
      <c r="E14" s="380"/>
      <c r="F14" s="679"/>
    </row>
    <row r="15" spans="1:6" ht="15.75">
      <c r="A15" s="498" t="s">
        <v>14</v>
      </c>
      <c r="B15" s="377"/>
      <c r="C15" s="378"/>
      <c r="D15" s="379"/>
      <c r="E15" s="380"/>
      <c r="F15" s="679"/>
    </row>
    <row r="16" spans="1:6" ht="15.75">
      <c r="A16" s="498" t="s">
        <v>15</v>
      </c>
      <c r="B16" s="377"/>
      <c r="C16" s="378"/>
      <c r="D16" s="379"/>
      <c r="E16" s="380"/>
      <c r="F16" s="679"/>
    </row>
    <row r="17" spans="1:6" ht="15.75">
      <c r="A17" s="498" t="s">
        <v>16</v>
      </c>
      <c r="B17" s="377"/>
      <c r="C17" s="378"/>
      <c r="D17" s="379"/>
      <c r="E17" s="380"/>
      <c r="F17" s="679"/>
    </row>
    <row r="18" spans="1:6" ht="15.75">
      <c r="A18" s="498" t="s">
        <v>17</v>
      </c>
      <c r="B18" s="377"/>
      <c r="C18" s="378"/>
      <c r="D18" s="379"/>
      <c r="E18" s="380"/>
      <c r="F18" s="679"/>
    </row>
    <row r="19" spans="1:6" ht="15.75">
      <c r="A19" s="498" t="s">
        <v>18</v>
      </c>
      <c r="B19" s="377"/>
      <c r="C19" s="378"/>
      <c r="D19" s="379"/>
      <c r="E19" s="380"/>
      <c r="F19" s="679"/>
    </row>
    <row r="20" spans="1:6" ht="15.75">
      <c r="A20" s="498" t="s">
        <v>19</v>
      </c>
      <c r="B20" s="377"/>
      <c r="C20" s="378"/>
      <c r="D20" s="379"/>
      <c r="E20" s="380"/>
      <c r="F20" s="679"/>
    </row>
    <row r="21" spans="1:6" ht="16.5" thickBot="1">
      <c r="A21" s="499" t="s">
        <v>20</v>
      </c>
      <c r="B21" s="381"/>
      <c r="C21" s="382"/>
      <c r="D21" s="383"/>
      <c r="E21" s="384"/>
      <c r="F21" s="679"/>
    </row>
    <row r="22" spans="1:6" ht="16.5" thickBot="1">
      <c r="A22" s="681" t="s">
        <v>323</v>
      </c>
      <c r="B22" s="682"/>
      <c r="C22" s="385"/>
      <c r="D22" s="386">
        <f>IF(SUM(D5:D21)=0,"",SUM(D5:D21))</f>
      </c>
      <c r="E22" s="387">
        <f>IF(SUM(E5:E21)=0,"",SUM(E5:E21))</f>
      </c>
      <c r="F22" s="679"/>
    </row>
    <row r="23" ht="15.75">
      <c r="A23" s="372"/>
    </row>
  </sheetData>
  <sheetProtection/>
  <mergeCells count="3">
    <mergeCell ref="F1:F22"/>
    <mergeCell ref="A2:E2"/>
    <mergeCell ref="A22:B2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="120" zoomScaleNormal="120" workbookViewId="0" topLeftCell="A1">
      <selection activeCell="E19" sqref="E19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4" width="11.00390625" style="31" bestFit="1" customWidth="1"/>
    <col min="5" max="16384" width="9.375" style="31" customWidth="1"/>
  </cols>
  <sheetData>
    <row r="1" spans="1:3" ht="15">
      <c r="A1" s="338"/>
      <c r="B1" s="338"/>
      <c r="C1" s="500" t="str">
        <f>CONCATENATE("6. tájékoztató tábla"," ",ALAPADATOK!A7," ",ALAPADATOK!B7," ",ALAPADATOK!C7," ",ALAPADATOK!D7," ",ALAPADATOK!E7," ",ALAPADATOK!F7," ",ALAPADATOK!G7," ",ALAPADATOK!H7)</f>
        <v>6. tájékoztató tábla a … / 2024. ( … ) önkormányzati határozathoz</v>
      </c>
    </row>
    <row r="2" spans="1:3" ht="14.25">
      <c r="A2" s="501"/>
      <c r="B2" s="501"/>
      <c r="C2" s="501"/>
    </row>
    <row r="3" spans="1:3" ht="33.75" customHeight="1">
      <c r="A3" s="683" t="s">
        <v>324</v>
      </c>
      <c r="B3" s="683"/>
      <c r="C3" s="683"/>
    </row>
    <row r="4" spans="1:3" ht="13.5" thickBot="1">
      <c r="A4" s="338"/>
      <c r="B4" s="338"/>
      <c r="C4" s="502"/>
    </row>
    <row r="5" spans="1:3" s="247" customFormat="1" ht="43.5" customHeight="1" thickBot="1">
      <c r="A5" s="388" t="s">
        <v>2</v>
      </c>
      <c r="B5" s="389" t="s">
        <v>42</v>
      </c>
      <c r="C5" s="390" t="s">
        <v>335</v>
      </c>
    </row>
    <row r="6" spans="1:3" ht="28.5" customHeight="1">
      <c r="A6" s="391" t="s">
        <v>4</v>
      </c>
      <c r="B6" s="392" t="str">
        <f>+CONCATENATE("Pénzkészlet ",LEFT('1. sz. mell.'!C8,4),". január 1-jén",CHAR(10),"ebből:")</f>
        <v>Pénzkészlet 2023. január 1-jén
ebből:</v>
      </c>
      <c r="C6" s="393">
        <v>17902954</v>
      </c>
    </row>
    <row r="7" spans="1:4" ht="18" customHeight="1">
      <c r="A7" s="394" t="s">
        <v>5</v>
      </c>
      <c r="B7" s="395" t="s">
        <v>325</v>
      </c>
      <c r="C7" s="396">
        <v>17766629</v>
      </c>
      <c r="D7" s="550"/>
    </row>
    <row r="8" spans="1:4" ht="18" customHeight="1">
      <c r="A8" s="394" t="s">
        <v>6</v>
      </c>
      <c r="B8" s="395" t="s">
        <v>326</v>
      </c>
      <c r="C8" s="396">
        <v>136325</v>
      </c>
      <c r="D8" s="550"/>
    </row>
    <row r="9" spans="1:4" ht="18" customHeight="1">
      <c r="A9" s="394" t="s">
        <v>7</v>
      </c>
      <c r="B9" s="397" t="s">
        <v>327</v>
      </c>
      <c r="C9" s="396">
        <v>283940784</v>
      </c>
      <c r="D9" s="550"/>
    </row>
    <row r="10" spans="1:4" ht="18" customHeight="1">
      <c r="A10" s="398" t="s">
        <v>8</v>
      </c>
      <c r="B10" s="399" t="s">
        <v>328</v>
      </c>
      <c r="C10" s="396">
        <v>273004867</v>
      </c>
      <c r="D10" s="550"/>
    </row>
    <row r="11" spans="1:3" ht="18" customHeight="1" thickBot="1">
      <c r="A11" s="403" t="s">
        <v>9</v>
      </c>
      <c r="B11" s="406" t="s">
        <v>329</v>
      </c>
      <c r="C11" s="405">
        <v>-41263</v>
      </c>
    </row>
    <row r="12" spans="1:3" ht="25.5" customHeight="1">
      <c r="A12" s="400" t="s">
        <v>9</v>
      </c>
      <c r="B12" s="401" t="str">
        <f>+CONCATENATE("Záró pénzkészlet ",LEFT('1. sz. mell.'!C8,4),". december 31-én",CHAR(10),"ebből:")</f>
        <v>Záró pénzkészlet 2023. december 31-én
ebből:</v>
      </c>
      <c r="C12" s="402">
        <f>C6+C9-C10+C11</f>
        <v>28797608</v>
      </c>
    </row>
    <row r="13" spans="1:3" ht="18" customHeight="1">
      <c r="A13" s="394" t="s">
        <v>10</v>
      </c>
      <c r="B13" s="395" t="s">
        <v>325</v>
      </c>
      <c r="C13" s="396">
        <v>28538088</v>
      </c>
    </row>
    <row r="14" spans="1:4" ht="18" customHeight="1" thickBot="1">
      <c r="A14" s="403" t="s">
        <v>11</v>
      </c>
      <c r="B14" s="404" t="s">
        <v>326</v>
      </c>
      <c r="C14" s="405">
        <v>259520</v>
      </c>
      <c r="D14" s="555"/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="120" zoomScaleNormal="120" zoomScaleSheetLayoutView="120" workbookViewId="0" topLeftCell="A25">
      <selection activeCell="D40" sqref="D40"/>
    </sheetView>
  </sheetViews>
  <sheetFormatPr defaultColWidth="9.00390625" defaultRowHeight="12.75"/>
  <cols>
    <col min="1" max="1" width="7.875" style="105" customWidth="1"/>
    <col min="2" max="2" width="61.375" style="105" customWidth="1"/>
    <col min="3" max="3" width="13.875" style="106" customWidth="1"/>
    <col min="4" max="5" width="13.875" style="105" customWidth="1"/>
    <col min="6" max="6" width="9.00390625" style="25" customWidth="1"/>
    <col min="7" max="16384" width="9.375" style="25" customWidth="1"/>
  </cols>
  <sheetData>
    <row r="1" spans="1:5" ht="15.75">
      <c r="A1" s="560" t="str">
        <f>CONCATENATE("1. melléklet"," ",ALAPADATOK!A7," ",ALAPADATOK!B7," ",ALAPADATOK!C7," ",ALAPADATOK!D7," ",ALAPADATOK!E7," ",ALAPADATOK!F7," ",ALAPADATOK!G7," ",ALAPADATOK!H7)</f>
        <v>1. melléklet a … / 2024. ( … ) önkormányzati határozathoz</v>
      </c>
      <c r="B1" s="561"/>
      <c r="C1" s="561"/>
      <c r="D1" s="561"/>
      <c r="E1" s="561"/>
    </row>
    <row r="2" spans="1:5" ht="15.75">
      <c r="A2" s="562"/>
      <c r="B2" s="563"/>
      <c r="C2" s="563"/>
      <c r="D2" s="563"/>
      <c r="E2" s="563"/>
    </row>
    <row r="3" spans="1:5" ht="15.75">
      <c r="A3" s="564" t="str">
        <f>ALAPADATOK!A3</f>
        <v>Bátaszék és Környéke Egészségügyi, Szociális és Gyermekjóléti Intézmény–fenntartó Társulás</v>
      </c>
      <c r="B3" s="565"/>
      <c r="C3" s="565"/>
      <c r="D3" s="565"/>
      <c r="E3" s="565"/>
    </row>
    <row r="4" spans="1:5" ht="15.75">
      <c r="A4" s="564" t="str">
        <f>CONCATENATE(ALAPADATOK!A2,". ÉVI ZÁRSZÁMADÁSÁNAK PÉNZÜGYI MÉRLEGE")</f>
        <v>2023. ÉVI ZÁRSZÁMADÁSÁNAK PÉNZÜGYI MÉRLEGE</v>
      </c>
      <c r="B4" s="565"/>
      <c r="C4" s="565"/>
      <c r="D4" s="565"/>
      <c r="E4" s="565"/>
    </row>
    <row r="5" spans="1:5" ht="15.75">
      <c r="A5" s="433"/>
      <c r="B5" s="433"/>
      <c r="C5" s="434"/>
      <c r="D5" s="433"/>
      <c r="E5" s="433"/>
    </row>
    <row r="6" spans="1:5" ht="15.75" customHeight="1">
      <c r="A6" s="572" t="s">
        <v>1</v>
      </c>
      <c r="B6" s="572"/>
      <c r="C6" s="572"/>
      <c r="D6" s="572"/>
      <c r="E6" s="572"/>
    </row>
    <row r="7" spans="1:5" ht="15.75" customHeight="1" thickBot="1">
      <c r="A7" s="573" t="s">
        <v>83</v>
      </c>
      <c r="B7" s="573"/>
      <c r="C7" s="434"/>
      <c r="D7" s="435"/>
      <c r="E7" s="436" t="s">
        <v>333</v>
      </c>
    </row>
    <row r="8" spans="1:5" ht="15.75" customHeight="1">
      <c r="A8" s="576" t="s">
        <v>49</v>
      </c>
      <c r="B8" s="578" t="s">
        <v>3</v>
      </c>
      <c r="C8" s="580" t="str">
        <f>CONCATENATE(ALAPADATOK!A2,ALAPADATOK!B2)</f>
        <v>2023. évi</v>
      </c>
      <c r="D8" s="580"/>
      <c r="E8" s="581"/>
    </row>
    <row r="9" spans="1:5" ht="37.5" customHeight="1" thickBot="1">
      <c r="A9" s="577"/>
      <c r="B9" s="579"/>
      <c r="C9" s="437" t="s">
        <v>123</v>
      </c>
      <c r="D9" s="437" t="s">
        <v>130</v>
      </c>
      <c r="E9" s="438" t="s">
        <v>131</v>
      </c>
    </row>
    <row r="10" spans="1:5" s="26" customFormat="1" ht="12" customHeight="1" thickBot="1">
      <c r="A10" s="22">
        <v>1</v>
      </c>
      <c r="B10" s="23">
        <v>2</v>
      </c>
      <c r="C10" s="23">
        <v>3</v>
      </c>
      <c r="D10" s="23">
        <v>4</v>
      </c>
      <c r="E10" s="151">
        <v>5</v>
      </c>
    </row>
    <row r="11" spans="1:5" s="1" customFormat="1" ht="12" customHeight="1" thickBot="1">
      <c r="A11" s="15" t="s">
        <v>4</v>
      </c>
      <c r="B11" s="16" t="s">
        <v>356</v>
      </c>
      <c r="C11" s="195">
        <f>+C12+C13+C14+C15+C16</f>
        <v>0</v>
      </c>
      <c r="D11" s="134">
        <f>+D12+D13+D14+D15+D16</f>
        <v>0</v>
      </c>
      <c r="E11" s="152">
        <f>+E12+E13+E14+E15+E16</f>
        <v>0</v>
      </c>
    </row>
    <row r="12" spans="1:5" s="1" customFormat="1" ht="12" customHeight="1">
      <c r="A12" s="12" t="s">
        <v>53</v>
      </c>
      <c r="B12" s="202" t="s">
        <v>357</v>
      </c>
      <c r="C12" s="196"/>
      <c r="D12" s="136"/>
      <c r="E12" s="154"/>
    </row>
    <row r="13" spans="1:5" s="1" customFormat="1" ht="12" customHeight="1">
      <c r="A13" s="11" t="s">
        <v>54</v>
      </c>
      <c r="B13" s="65" t="s">
        <v>181</v>
      </c>
      <c r="C13" s="194"/>
      <c r="D13" s="135"/>
      <c r="E13" s="156"/>
    </row>
    <row r="14" spans="1:5" s="1" customFormat="1" ht="12" customHeight="1">
      <c r="A14" s="11" t="s">
        <v>55</v>
      </c>
      <c r="B14" s="65" t="s">
        <v>358</v>
      </c>
      <c r="C14" s="194"/>
      <c r="D14" s="135"/>
      <c r="E14" s="156"/>
    </row>
    <row r="15" spans="1:5" s="1" customFormat="1" ht="12" customHeight="1">
      <c r="A15" s="11" t="s">
        <v>56</v>
      </c>
      <c r="B15" s="65" t="s">
        <v>359</v>
      </c>
      <c r="C15" s="194"/>
      <c r="D15" s="135"/>
      <c r="E15" s="156"/>
    </row>
    <row r="16" spans="1:5" s="1" customFormat="1" ht="12" customHeight="1" thickBot="1">
      <c r="A16" s="11" t="s">
        <v>82</v>
      </c>
      <c r="B16" s="65" t="s">
        <v>184</v>
      </c>
      <c r="C16" s="194"/>
      <c r="D16" s="135"/>
      <c r="E16" s="156"/>
    </row>
    <row r="17" spans="1:5" s="1" customFormat="1" ht="12" customHeight="1" thickBot="1">
      <c r="A17" s="15" t="s">
        <v>5</v>
      </c>
      <c r="B17" s="64" t="s">
        <v>152</v>
      </c>
      <c r="C17" s="203">
        <v>241939650</v>
      </c>
      <c r="D17" s="161">
        <v>249236987</v>
      </c>
      <c r="E17" s="162">
        <v>248314689</v>
      </c>
    </row>
    <row r="18" spans="1:5" s="1" customFormat="1" ht="12" customHeight="1" thickBot="1">
      <c r="A18" s="15" t="s">
        <v>6</v>
      </c>
      <c r="B18" s="16" t="s">
        <v>164</v>
      </c>
      <c r="C18" s="203">
        <v>215900</v>
      </c>
      <c r="D18" s="161"/>
      <c r="E18" s="162"/>
    </row>
    <row r="19" spans="1:5" s="1" customFormat="1" ht="12" customHeight="1" thickBot="1">
      <c r="A19" s="15" t="s">
        <v>89</v>
      </c>
      <c r="B19" s="64" t="s">
        <v>185</v>
      </c>
      <c r="C19" s="204">
        <v>34823000</v>
      </c>
      <c r="D19" s="206">
        <v>39310056</v>
      </c>
      <c r="E19" s="542">
        <v>35626095</v>
      </c>
    </row>
    <row r="20" spans="1:5" s="1" customFormat="1" ht="12" customHeight="1" thickBot="1">
      <c r="A20" s="15" t="s">
        <v>8</v>
      </c>
      <c r="B20" s="64" t="s">
        <v>166</v>
      </c>
      <c r="C20" s="203"/>
      <c r="D20" s="161"/>
      <c r="E20" s="162"/>
    </row>
    <row r="21" spans="1:5" s="1" customFormat="1" ht="12" customHeight="1" thickBot="1">
      <c r="A21" s="15" t="s">
        <v>9</v>
      </c>
      <c r="B21" s="64" t="s">
        <v>153</v>
      </c>
      <c r="C21" s="203"/>
      <c r="D21" s="161"/>
      <c r="E21" s="162"/>
    </row>
    <row r="22" spans="1:5" s="1" customFormat="1" ht="12" customHeight="1" thickBot="1">
      <c r="A22" s="15" t="s">
        <v>91</v>
      </c>
      <c r="B22" s="64" t="s">
        <v>186</v>
      </c>
      <c r="C22" s="203"/>
      <c r="D22" s="161"/>
      <c r="E22" s="162"/>
    </row>
    <row r="23" spans="1:5" s="1" customFormat="1" ht="12" customHeight="1" thickBot="1">
      <c r="A23" s="15" t="s">
        <v>11</v>
      </c>
      <c r="B23" s="16" t="s">
        <v>187</v>
      </c>
      <c r="C23" s="197">
        <f>+C11+C17+C18+C19+C20+C21+C22</f>
        <v>276978550</v>
      </c>
      <c r="D23" s="139">
        <f>+D11+D17+D18+D19+D20+D21+D22</f>
        <v>288547043</v>
      </c>
      <c r="E23" s="159">
        <f>+E11+E17+E18+E19+E20+E21+E22</f>
        <v>283940784</v>
      </c>
    </row>
    <row r="24" spans="1:5" s="1" customFormat="1" ht="12" customHeight="1" thickBot="1">
      <c r="A24" s="15" t="s">
        <v>12</v>
      </c>
      <c r="B24" s="64" t="s">
        <v>188</v>
      </c>
      <c r="C24" s="195">
        <f>SUM(C25:C29)</f>
        <v>18004982</v>
      </c>
      <c r="D24" s="134">
        <f>SUM(D25:D29)</f>
        <v>18004981</v>
      </c>
      <c r="E24" s="152">
        <f>SUM(E25:E29)</f>
        <v>18004981</v>
      </c>
    </row>
    <row r="25" spans="1:5" s="1" customFormat="1" ht="12" customHeight="1">
      <c r="A25" s="11" t="s">
        <v>189</v>
      </c>
      <c r="B25" s="65" t="s">
        <v>190</v>
      </c>
      <c r="C25" s="205"/>
      <c r="D25" s="138"/>
      <c r="E25" s="160"/>
    </row>
    <row r="26" spans="1:5" s="1" customFormat="1" ht="12" customHeight="1">
      <c r="A26" s="11" t="s">
        <v>191</v>
      </c>
      <c r="B26" s="65" t="s">
        <v>192</v>
      </c>
      <c r="C26" s="205"/>
      <c r="D26" s="138"/>
      <c r="E26" s="160"/>
    </row>
    <row r="27" spans="1:5" s="1" customFormat="1" ht="12" customHeight="1">
      <c r="A27" s="11" t="s">
        <v>193</v>
      </c>
      <c r="B27" s="65" t="s">
        <v>194</v>
      </c>
      <c r="C27" s="205">
        <v>18004982</v>
      </c>
      <c r="D27" s="138">
        <v>18004981</v>
      </c>
      <c r="E27" s="160">
        <v>18004981</v>
      </c>
    </row>
    <row r="28" spans="1:5" s="1" customFormat="1" ht="12" customHeight="1">
      <c r="A28" s="11" t="s">
        <v>195</v>
      </c>
      <c r="B28" s="65" t="s">
        <v>196</v>
      </c>
      <c r="C28" s="205"/>
      <c r="D28" s="138"/>
      <c r="E28" s="160"/>
    </row>
    <row r="29" spans="1:5" s="1" customFormat="1" ht="12" customHeight="1" thickBot="1">
      <c r="A29" s="11" t="s">
        <v>197</v>
      </c>
      <c r="B29" s="65" t="s">
        <v>150</v>
      </c>
      <c r="C29" s="205"/>
      <c r="D29" s="138"/>
      <c r="E29" s="160"/>
    </row>
    <row r="30" spans="1:5" s="1" customFormat="1" ht="12" customHeight="1" thickBot="1">
      <c r="A30" s="15" t="s">
        <v>13</v>
      </c>
      <c r="B30" s="64" t="s">
        <v>151</v>
      </c>
      <c r="C30" s="203"/>
      <c r="D30" s="161"/>
      <c r="E30" s="162"/>
    </row>
    <row r="31" spans="1:5" s="1" customFormat="1" ht="12" customHeight="1" thickBot="1">
      <c r="A31" s="15" t="s">
        <v>14</v>
      </c>
      <c r="B31" s="192" t="s">
        <v>198</v>
      </c>
      <c r="C31" s="197">
        <f>+C24+C30</f>
        <v>18004982</v>
      </c>
      <c r="D31" s="139">
        <f>+D24+D30</f>
        <v>18004981</v>
      </c>
      <c r="E31" s="159">
        <f>+E24+E30</f>
        <v>18004981</v>
      </c>
    </row>
    <row r="32" spans="1:5" s="1" customFormat="1" ht="12" customHeight="1" thickBot="1">
      <c r="A32" s="15" t="s">
        <v>15</v>
      </c>
      <c r="B32" s="193" t="s">
        <v>199</v>
      </c>
      <c r="C32" s="197">
        <f>+C23+C31</f>
        <v>294983532</v>
      </c>
      <c r="D32" s="139">
        <f>+D23+D31</f>
        <v>306552024</v>
      </c>
      <c r="E32" s="159">
        <f>+E23+E31</f>
        <v>301945765</v>
      </c>
    </row>
    <row r="33" spans="1:5" s="1" customFormat="1" ht="12" customHeight="1">
      <c r="A33" s="165"/>
      <c r="B33" s="166"/>
      <c r="C33" s="167"/>
      <c r="D33" s="168"/>
      <c r="E33" s="169"/>
    </row>
    <row r="34" spans="1:5" s="1" customFormat="1" ht="12" customHeight="1">
      <c r="A34" s="574" t="s">
        <v>32</v>
      </c>
      <c r="B34" s="574"/>
      <c r="C34" s="574"/>
      <c r="D34" s="574"/>
      <c r="E34" s="574"/>
    </row>
    <row r="35" spans="1:5" s="1" customFormat="1" ht="12" customHeight="1" thickBot="1">
      <c r="A35" s="575" t="s">
        <v>84</v>
      </c>
      <c r="B35" s="575"/>
      <c r="C35" s="106"/>
      <c r="D35" s="150"/>
      <c r="E35" s="68" t="str">
        <f>E7</f>
        <v>Forintban!</v>
      </c>
    </row>
    <row r="36" spans="1:5" s="1" customFormat="1" ht="12" customHeight="1">
      <c r="A36" s="566" t="s">
        <v>49</v>
      </c>
      <c r="B36" s="568" t="s">
        <v>178</v>
      </c>
      <c r="C36" s="570" t="str">
        <f>C8</f>
        <v>2023. évi</v>
      </c>
      <c r="D36" s="570"/>
      <c r="E36" s="571"/>
    </row>
    <row r="37" spans="1:6" s="1" customFormat="1" ht="24" customHeight="1" thickBot="1">
      <c r="A37" s="567"/>
      <c r="B37" s="569"/>
      <c r="C37" s="110" t="s">
        <v>123</v>
      </c>
      <c r="D37" s="110" t="s">
        <v>130</v>
      </c>
      <c r="E37" s="244" t="s">
        <v>131</v>
      </c>
      <c r="F37" s="170"/>
    </row>
    <row r="38" spans="1:6" s="1" customFormat="1" ht="12" customHeight="1" thickBot="1">
      <c r="A38" s="22">
        <v>1</v>
      </c>
      <c r="B38" s="23">
        <v>2</v>
      </c>
      <c r="C38" s="23">
        <v>3</v>
      </c>
      <c r="D38" s="23">
        <v>4</v>
      </c>
      <c r="E38" s="24">
        <v>5</v>
      </c>
      <c r="F38" s="170"/>
    </row>
    <row r="39" spans="1:6" s="1" customFormat="1" ht="15" customHeight="1" thickBot="1">
      <c r="A39" s="17" t="s">
        <v>4</v>
      </c>
      <c r="B39" s="21" t="s">
        <v>222</v>
      </c>
      <c r="C39" s="133">
        <f>SUM(C40:C45)</f>
        <v>294767632</v>
      </c>
      <c r="D39" s="133">
        <f>SUM(D40:D45)</f>
        <v>306552024</v>
      </c>
      <c r="E39" s="198">
        <f>SUM(E40:E45)</f>
        <v>273004867</v>
      </c>
      <c r="F39" s="170"/>
    </row>
    <row r="40" spans="1:5" s="1" customFormat="1" ht="12.75" customHeight="1">
      <c r="A40" s="13" t="s">
        <v>53</v>
      </c>
      <c r="B40" s="7" t="s">
        <v>33</v>
      </c>
      <c r="C40" s="200">
        <v>116275450</v>
      </c>
      <c r="D40" s="200">
        <v>130454556</v>
      </c>
      <c r="E40" s="199">
        <v>129387964</v>
      </c>
    </row>
    <row r="41" spans="1:5" ht="16.5" customHeight="1">
      <c r="A41" s="11" t="s">
        <v>54</v>
      </c>
      <c r="B41" s="5" t="s">
        <v>92</v>
      </c>
      <c r="C41" s="135">
        <v>15118800</v>
      </c>
      <c r="D41" s="135">
        <v>16893454</v>
      </c>
      <c r="E41" s="156">
        <v>16229186</v>
      </c>
    </row>
    <row r="42" spans="1:5" ht="15.75">
      <c r="A42" s="11" t="s">
        <v>55</v>
      </c>
      <c r="B42" s="5" t="s">
        <v>75</v>
      </c>
      <c r="C42" s="137">
        <v>138438186</v>
      </c>
      <c r="D42" s="137">
        <v>113386346</v>
      </c>
      <c r="E42" s="158">
        <v>105478078</v>
      </c>
    </row>
    <row r="43" spans="1:5" s="26" customFormat="1" ht="12" customHeight="1">
      <c r="A43" s="11" t="s">
        <v>56</v>
      </c>
      <c r="B43" s="8" t="s">
        <v>93</v>
      </c>
      <c r="C43" s="137"/>
      <c r="D43" s="137"/>
      <c r="E43" s="158"/>
    </row>
    <row r="44" spans="1:5" s="26" customFormat="1" ht="12" customHeight="1">
      <c r="A44" s="11" t="s">
        <v>82</v>
      </c>
      <c r="B44" s="14" t="s">
        <v>94</v>
      </c>
      <c r="C44" s="137">
        <v>8182649</v>
      </c>
      <c r="D44" s="137">
        <v>22317816</v>
      </c>
      <c r="E44" s="158">
        <v>21909639</v>
      </c>
    </row>
    <row r="45" spans="1:5" s="26" customFormat="1" ht="12" customHeight="1">
      <c r="A45" s="11" t="s">
        <v>57</v>
      </c>
      <c r="B45" s="5" t="s">
        <v>223</v>
      </c>
      <c r="C45" s="137">
        <v>16752547</v>
      </c>
      <c r="D45" s="137">
        <v>23499852</v>
      </c>
      <c r="E45" s="158"/>
    </row>
    <row r="46" spans="1:5" s="26" customFormat="1" ht="12" customHeight="1">
      <c r="A46" s="11" t="s">
        <v>58</v>
      </c>
      <c r="B46" s="5" t="s">
        <v>224</v>
      </c>
      <c r="C46" s="137"/>
      <c r="D46" s="137"/>
      <c r="E46" s="158"/>
    </row>
    <row r="47" spans="1:5" ht="12" customHeight="1" thickBot="1">
      <c r="A47" s="11" t="s">
        <v>64</v>
      </c>
      <c r="B47" s="14" t="s">
        <v>225</v>
      </c>
      <c r="C47" s="137"/>
      <c r="D47" s="137"/>
      <c r="E47" s="158"/>
    </row>
    <row r="48" spans="1:5" ht="12" customHeight="1" thickBot="1">
      <c r="A48" s="15" t="s">
        <v>5</v>
      </c>
      <c r="B48" s="20" t="s">
        <v>200</v>
      </c>
      <c r="C48" s="134">
        <f>+C49+C50+C51</f>
        <v>215900</v>
      </c>
      <c r="D48" s="134">
        <f>+D49+D50+D51</f>
        <v>0</v>
      </c>
      <c r="E48" s="152">
        <f>+E49+E50+E51</f>
        <v>0</v>
      </c>
    </row>
    <row r="49" spans="1:5" ht="12" customHeight="1">
      <c r="A49" s="12" t="s">
        <v>59</v>
      </c>
      <c r="B49" s="5" t="s">
        <v>105</v>
      </c>
      <c r="C49" s="136">
        <v>215900</v>
      </c>
      <c r="D49" s="136"/>
      <c r="E49" s="154"/>
    </row>
    <row r="50" spans="1:5" ht="12" customHeight="1">
      <c r="A50" s="12" t="s">
        <v>60</v>
      </c>
      <c r="B50" s="9" t="s">
        <v>95</v>
      </c>
      <c r="C50" s="135"/>
      <c r="D50" s="135"/>
      <c r="E50" s="156"/>
    </row>
    <row r="51" spans="1:5" ht="12" customHeight="1" thickBot="1">
      <c r="A51" s="12" t="s">
        <v>61</v>
      </c>
      <c r="B51" s="66" t="s">
        <v>106</v>
      </c>
      <c r="C51" s="135"/>
      <c r="D51" s="135"/>
      <c r="E51" s="156"/>
    </row>
    <row r="52" spans="1:5" ht="12" customHeight="1" thickBot="1">
      <c r="A52" s="15" t="s">
        <v>6</v>
      </c>
      <c r="B52" s="52" t="s">
        <v>226</v>
      </c>
      <c r="C52" s="134">
        <f>+C39+C48</f>
        <v>294983532</v>
      </c>
      <c r="D52" s="134">
        <f>+D39+D48</f>
        <v>306552024</v>
      </c>
      <c r="E52" s="152">
        <f>+E39+E48</f>
        <v>273004867</v>
      </c>
    </row>
    <row r="53" spans="1:5" ht="12" customHeight="1" thickBot="1">
      <c r="A53" s="15" t="s">
        <v>7</v>
      </c>
      <c r="B53" s="52" t="s">
        <v>228</v>
      </c>
      <c r="C53" s="134">
        <f>+C54+C55+C56+C57</f>
        <v>0</v>
      </c>
      <c r="D53" s="134">
        <f>+D54+D55+D56+D57</f>
        <v>0</v>
      </c>
      <c r="E53" s="152">
        <f>+E54+E55+E56+E57</f>
        <v>0</v>
      </c>
    </row>
    <row r="54" spans="1:5" ht="12" customHeight="1">
      <c r="A54" s="13" t="s">
        <v>136</v>
      </c>
      <c r="B54" s="7" t="s">
        <v>201</v>
      </c>
      <c r="C54" s="200"/>
      <c r="D54" s="200"/>
      <c r="E54" s="199"/>
    </row>
    <row r="55" spans="1:5" ht="12" customHeight="1">
      <c r="A55" s="11" t="s">
        <v>137</v>
      </c>
      <c r="B55" s="5" t="s">
        <v>202</v>
      </c>
      <c r="C55" s="137"/>
      <c r="D55" s="137"/>
      <c r="E55" s="158"/>
    </row>
    <row r="56" spans="1:5" ht="12" customHeight="1">
      <c r="A56" s="11" t="s">
        <v>138</v>
      </c>
      <c r="B56" s="5" t="s">
        <v>229</v>
      </c>
      <c r="C56" s="137"/>
      <c r="D56" s="137"/>
      <c r="E56" s="158"/>
    </row>
    <row r="57" spans="1:5" ht="12" customHeight="1" thickBot="1">
      <c r="A57" s="10" t="s">
        <v>227</v>
      </c>
      <c r="B57" s="4" t="s">
        <v>230</v>
      </c>
      <c r="C57" s="137"/>
      <c r="D57" s="245"/>
      <c r="E57" s="158"/>
    </row>
    <row r="58" spans="1:5" ht="12" customHeight="1" thickBot="1">
      <c r="A58" s="15" t="s">
        <v>8</v>
      </c>
      <c r="B58" s="192" t="s">
        <v>231</v>
      </c>
      <c r="C58" s="134">
        <f>+C52+C53</f>
        <v>294983532</v>
      </c>
      <c r="D58" s="246">
        <f>+D52+D53</f>
        <v>306552024</v>
      </c>
      <c r="E58" s="67">
        <f>+E52+E53</f>
        <v>273004867</v>
      </c>
    </row>
    <row r="59" spans="3:4" ht="12" customHeight="1">
      <c r="C59" s="432">
        <f>C32-C58</f>
        <v>0</v>
      </c>
      <c r="D59" s="432">
        <f>D32-D58</f>
        <v>0</v>
      </c>
    </row>
    <row r="60" s="1" customFormat="1" ht="12.75" customHeight="1"/>
    <row r="61" ht="15.75">
      <c r="C61" s="105"/>
    </row>
    <row r="62" ht="15.75">
      <c r="C62" s="105"/>
    </row>
    <row r="63" ht="15.75">
      <c r="C63" s="105"/>
    </row>
    <row r="64" ht="16.5" customHeight="1">
      <c r="C64" s="105"/>
    </row>
    <row r="65" ht="15.75">
      <c r="C65" s="105"/>
    </row>
    <row r="66" ht="15.75">
      <c r="C66" s="105"/>
    </row>
    <row r="67" ht="15.75">
      <c r="C67" s="105"/>
    </row>
    <row r="68" ht="15.75">
      <c r="C68" s="105"/>
    </row>
    <row r="69" ht="15.75">
      <c r="C69" s="105"/>
    </row>
    <row r="70" spans="6:7" s="105" customFormat="1" ht="15.75">
      <c r="F70" s="25"/>
      <c r="G70" s="25"/>
    </row>
    <row r="71" spans="6:7" s="105" customFormat="1" ht="15.75">
      <c r="F71" s="25"/>
      <c r="G71" s="25"/>
    </row>
    <row r="72" spans="6:7" s="105" customFormat="1" ht="15.75">
      <c r="F72" s="25"/>
      <c r="G72" s="25"/>
    </row>
    <row r="73" spans="6:7" s="105" customFormat="1" ht="15.75">
      <c r="F73" s="25"/>
      <c r="G73" s="25"/>
    </row>
  </sheetData>
  <sheetProtection/>
  <mergeCells count="14">
    <mergeCell ref="A35:B35"/>
    <mergeCell ref="A8:A9"/>
    <mergeCell ref="B8:B9"/>
    <mergeCell ref="C8:E8"/>
    <mergeCell ref="A1:E1"/>
    <mergeCell ref="A2:E2"/>
    <mergeCell ref="A3:E3"/>
    <mergeCell ref="A4:E4"/>
    <mergeCell ref="A36:A37"/>
    <mergeCell ref="B36:B37"/>
    <mergeCell ref="C36:E36"/>
    <mergeCell ref="A6:E6"/>
    <mergeCell ref="A7:B7"/>
    <mergeCell ref="A34:E34"/>
  </mergeCells>
  <printOptions horizontalCentered="1"/>
  <pageMargins left="0.5905511811023623" right="0.5905511811023623" top="0.8661417322834646" bottom="0.8661417322834646" header="0.5905511811023623" footer="0.3937007874015748"/>
  <pageSetup fitToHeight="2" fitToWidth="3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zoomScaleSheetLayoutView="100" workbookViewId="0" topLeftCell="A16">
      <selection activeCell="H12" sqref="H12"/>
    </sheetView>
  </sheetViews>
  <sheetFormatPr defaultColWidth="9.00390625" defaultRowHeight="12.75"/>
  <cols>
    <col min="1" max="1" width="6.875" style="36" customWidth="1"/>
    <col min="2" max="2" width="55.125" style="54" customWidth="1"/>
    <col min="3" max="5" width="16.375" style="36" customWidth="1"/>
    <col min="6" max="6" width="55.1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1:10" ht="39.75" customHeight="1">
      <c r="A1" s="439"/>
      <c r="B1" s="440" t="s">
        <v>354</v>
      </c>
      <c r="C1" s="441"/>
      <c r="D1" s="441"/>
      <c r="E1" s="441"/>
      <c r="F1" s="441"/>
      <c r="G1" s="441"/>
      <c r="H1" s="441"/>
      <c r="I1" s="441"/>
      <c r="J1" s="584">
        <v>129387964</v>
      </c>
    </row>
    <row r="2" spans="1:10" ht="14.25" thickBot="1">
      <c r="A2" s="439"/>
      <c r="B2" s="442"/>
      <c r="C2" s="439"/>
      <c r="D2" s="439"/>
      <c r="E2" s="439"/>
      <c r="F2" s="439"/>
      <c r="G2" s="443"/>
      <c r="H2" s="443"/>
      <c r="I2" s="443" t="str">
        <f>'1. sz. mell.'!E7</f>
        <v>Forintban!</v>
      </c>
      <c r="J2" s="584"/>
    </row>
    <row r="3" spans="1:10" ht="18" customHeight="1" thickBot="1">
      <c r="A3" s="582" t="s">
        <v>49</v>
      </c>
      <c r="B3" s="444" t="s">
        <v>39</v>
      </c>
      <c r="C3" s="445"/>
      <c r="D3" s="445"/>
      <c r="E3" s="445"/>
      <c r="F3" s="444" t="s">
        <v>40</v>
      </c>
      <c r="G3" s="446"/>
      <c r="H3" s="446"/>
      <c r="I3" s="446"/>
      <c r="J3" s="584"/>
    </row>
    <row r="4" spans="1:10" s="78" customFormat="1" ht="35.25" customHeight="1" thickBot="1">
      <c r="A4" s="583"/>
      <c r="B4" s="447" t="s">
        <v>42</v>
      </c>
      <c r="C4" s="448" t="str">
        <f>+CONCATENATE(LEFT('1. sz. mell.'!C8,4),". évi eredeti előirányzat")</f>
        <v>2023. évi eredeti előirányzat</v>
      </c>
      <c r="D4" s="449" t="str">
        <f>+CONCATENATE(LEFT('1. sz. mell.'!C8,4),". évi módosított előirányzat")</f>
        <v>2023. évi módosított előirányzat</v>
      </c>
      <c r="E4" s="448" t="str">
        <f>+CONCATENATE(LEFT('1. sz. mell.'!C8,4),". évi teljesítés")</f>
        <v>2023. évi teljesítés</v>
      </c>
      <c r="F4" s="447" t="s">
        <v>42</v>
      </c>
      <c r="G4" s="448" t="str">
        <f>C4</f>
        <v>2023. évi eredeti előirányzat</v>
      </c>
      <c r="H4" s="449" t="str">
        <f>D4</f>
        <v>2023. évi módosított előirányzat</v>
      </c>
      <c r="I4" s="450" t="str">
        <f>E4</f>
        <v>2023. évi teljesítés</v>
      </c>
      <c r="J4" s="584"/>
    </row>
    <row r="5" spans="1:10" s="83" customFormat="1" ht="12" customHeight="1" thickBot="1">
      <c r="A5" s="79">
        <v>1</v>
      </c>
      <c r="B5" s="80">
        <v>2</v>
      </c>
      <c r="C5" s="81">
        <v>3</v>
      </c>
      <c r="D5" s="81">
        <v>4</v>
      </c>
      <c r="E5" s="81">
        <v>5</v>
      </c>
      <c r="F5" s="80">
        <v>6</v>
      </c>
      <c r="G5" s="81">
        <v>7</v>
      </c>
      <c r="H5" s="81">
        <v>8</v>
      </c>
      <c r="I5" s="82">
        <v>9</v>
      </c>
      <c r="J5" s="584"/>
    </row>
    <row r="6" spans="1:10" ht="15" customHeight="1">
      <c r="A6" s="84" t="s">
        <v>4</v>
      </c>
      <c r="B6" s="85" t="s">
        <v>360</v>
      </c>
      <c r="C6" s="69"/>
      <c r="D6" s="69"/>
      <c r="E6" s="69"/>
      <c r="F6" s="85" t="s">
        <v>43</v>
      </c>
      <c r="G6" s="143">
        <v>116275450</v>
      </c>
      <c r="H6" s="174">
        <v>130454556</v>
      </c>
      <c r="I6" s="75">
        <v>129387964</v>
      </c>
      <c r="J6" s="584"/>
    </row>
    <row r="7" spans="1:10" ht="15" customHeight="1">
      <c r="A7" s="86" t="s">
        <v>5</v>
      </c>
      <c r="B7" s="87" t="s">
        <v>152</v>
      </c>
      <c r="C7" s="70">
        <v>241939650</v>
      </c>
      <c r="D7" s="70">
        <v>249236987</v>
      </c>
      <c r="E7" s="70">
        <v>248314689</v>
      </c>
      <c r="F7" s="87" t="s">
        <v>92</v>
      </c>
      <c r="G7" s="70">
        <v>15118800</v>
      </c>
      <c r="H7" s="175">
        <v>16893454</v>
      </c>
      <c r="I7" s="76">
        <v>16229186</v>
      </c>
      <c r="J7" s="584"/>
    </row>
    <row r="8" spans="1:10" ht="15" customHeight="1">
      <c r="A8" s="86" t="s">
        <v>6</v>
      </c>
      <c r="B8" s="87" t="s">
        <v>203</v>
      </c>
      <c r="C8" s="70">
        <v>34823000</v>
      </c>
      <c r="D8" s="70">
        <v>39310056</v>
      </c>
      <c r="E8" s="70">
        <v>35626095</v>
      </c>
      <c r="F8" s="87" t="s">
        <v>109</v>
      </c>
      <c r="G8" s="70">
        <v>138438186</v>
      </c>
      <c r="H8" s="175">
        <v>113386346</v>
      </c>
      <c r="I8" s="76">
        <v>105478078</v>
      </c>
      <c r="J8" s="584"/>
    </row>
    <row r="9" spans="1:10" ht="15" customHeight="1">
      <c r="A9" s="86" t="s">
        <v>7</v>
      </c>
      <c r="B9" s="87" t="s">
        <v>153</v>
      </c>
      <c r="C9" s="70"/>
      <c r="D9" s="70"/>
      <c r="E9" s="70"/>
      <c r="F9" s="87" t="s">
        <v>93</v>
      </c>
      <c r="G9" s="70"/>
      <c r="H9" s="175"/>
      <c r="I9" s="76"/>
      <c r="J9" s="584"/>
    </row>
    <row r="10" spans="1:10" ht="15" customHeight="1">
      <c r="A10" s="86" t="s">
        <v>8</v>
      </c>
      <c r="B10" s="207"/>
      <c r="C10" s="70"/>
      <c r="D10" s="70"/>
      <c r="E10" s="70"/>
      <c r="F10" s="87" t="s">
        <v>94</v>
      </c>
      <c r="G10" s="70">
        <v>8182649</v>
      </c>
      <c r="H10" s="175">
        <v>22317816</v>
      </c>
      <c r="I10" s="76">
        <v>21909639</v>
      </c>
      <c r="J10" s="584"/>
    </row>
    <row r="11" spans="1:10" ht="15" customHeight="1">
      <c r="A11" s="86" t="s">
        <v>9</v>
      </c>
      <c r="B11" s="30"/>
      <c r="C11" s="71"/>
      <c r="D11" s="71"/>
      <c r="E11" s="71"/>
      <c r="F11" s="87" t="s">
        <v>34</v>
      </c>
      <c r="G11" s="70">
        <v>16752547</v>
      </c>
      <c r="H11" s="175">
        <v>23499852</v>
      </c>
      <c r="I11" s="76"/>
      <c r="J11" s="584"/>
    </row>
    <row r="12" spans="1:10" ht="15" customHeight="1">
      <c r="A12" s="86" t="s">
        <v>10</v>
      </c>
      <c r="B12" s="30"/>
      <c r="C12" s="70"/>
      <c r="D12" s="70"/>
      <c r="E12" s="70"/>
      <c r="F12" s="30"/>
      <c r="G12" s="70"/>
      <c r="H12" s="175"/>
      <c r="I12" s="76"/>
      <c r="J12" s="584"/>
    </row>
    <row r="13" spans="1:10" ht="15" customHeight="1">
      <c r="A13" s="86" t="s">
        <v>11</v>
      </c>
      <c r="B13" s="30"/>
      <c r="C13" s="70"/>
      <c r="D13" s="70"/>
      <c r="E13" s="70"/>
      <c r="F13" s="30"/>
      <c r="G13" s="70"/>
      <c r="H13" s="175"/>
      <c r="I13" s="76"/>
      <c r="J13" s="584"/>
    </row>
    <row r="14" spans="1:10" ht="15" customHeight="1">
      <c r="A14" s="86" t="s">
        <v>12</v>
      </c>
      <c r="B14" s="171"/>
      <c r="C14" s="71"/>
      <c r="D14" s="71"/>
      <c r="E14" s="71"/>
      <c r="F14" s="30"/>
      <c r="G14" s="70"/>
      <c r="H14" s="175"/>
      <c r="I14" s="76"/>
      <c r="J14" s="584"/>
    </row>
    <row r="15" spans="1:10" ht="15" customHeight="1">
      <c r="A15" s="86" t="s">
        <v>13</v>
      </c>
      <c r="B15" s="30"/>
      <c r="C15" s="70"/>
      <c r="D15" s="70"/>
      <c r="E15" s="70"/>
      <c r="F15" s="30"/>
      <c r="G15" s="70"/>
      <c r="H15" s="70"/>
      <c r="I15" s="147"/>
      <c r="J15" s="584"/>
    </row>
    <row r="16" spans="1:10" ht="15" customHeight="1">
      <c r="A16" s="86" t="s">
        <v>14</v>
      </c>
      <c r="B16" s="30"/>
      <c r="C16" s="70"/>
      <c r="D16" s="70"/>
      <c r="E16" s="70"/>
      <c r="F16" s="30"/>
      <c r="G16" s="70"/>
      <c r="H16" s="70"/>
      <c r="I16" s="147"/>
      <c r="J16" s="584"/>
    </row>
    <row r="17" spans="1:10" ht="15" customHeight="1" thickBot="1">
      <c r="A17" s="86" t="s">
        <v>15</v>
      </c>
      <c r="B17" s="38"/>
      <c r="C17" s="72"/>
      <c r="D17" s="72"/>
      <c r="E17" s="72"/>
      <c r="F17" s="30"/>
      <c r="G17" s="72"/>
      <c r="H17" s="72"/>
      <c r="I17" s="177"/>
      <c r="J17" s="584"/>
    </row>
    <row r="18" spans="1:10" ht="15" customHeight="1" thickBot="1">
      <c r="A18" s="88" t="s">
        <v>16</v>
      </c>
      <c r="B18" s="53" t="s">
        <v>204</v>
      </c>
      <c r="C18" s="73">
        <f>SUM(C6:C17)</f>
        <v>276762650</v>
      </c>
      <c r="D18" s="73">
        <f>SUM(D6:D17)</f>
        <v>288547043</v>
      </c>
      <c r="E18" s="73">
        <f>SUM(E6:E17)</f>
        <v>283940784</v>
      </c>
      <c r="F18" s="53" t="s">
        <v>160</v>
      </c>
      <c r="G18" s="73">
        <f>SUM(G6:G17)</f>
        <v>294767632</v>
      </c>
      <c r="H18" s="73">
        <f>SUM(H6:H17)</f>
        <v>306552024</v>
      </c>
      <c r="I18" s="176">
        <f>SUM(I6:I17)</f>
        <v>273004867</v>
      </c>
      <c r="J18" s="584"/>
    </row>
    <row r="19" spans="1:10" ht="15" customHeight="1">
      <c r="A19" s="172" t="s">
        <v>17</v>
      </c>
      <c r="B19" s="89" t="s">
        <v>154</v>
      </c>
      <c r="C19" s="90">
        <f>+C20+C21+C22+C23</f>
        <v>18004982</v>
      </c>
      <c r="D19" s="90">
        <f>+D20+D21+D22+D23</f>
        <v>18004981</v>
      </c>
      <c r="E19" s="90">
        <f>+E20+E21+E22+E23</f>
        <v>18004981</v>
      </c>
      <c r="F19" s="91" t="s">
        <v>96</v>
      </c>
      <c r="G19" s="74"/>
      <c r="H19" s="74"/>
      <c r="I19" s="178"/>
      <c r="J19" s="584"/>
    </row>
    <row r="20" spans="1:10" ht="15" customHeight="1">
      <c r="A20" s="173" t="s">
        <v>18</v>
      </c>
      <c r="B20" s="91" t="s">
        <v>103</v>
      </c>
      <c r="C20" s="44">
        <v>18004982</v>
      </c>
      <c r="D20" s="44">
        <v>18004981</v>
      </c>
      <c r="E20" s="44">
        <v>18004981</v>
      </c>
      <c r="F20" s="91" t="s">
        <v>161</v>
      </c>
      <c r="G20" s="44"/>
      <c r="H20" s="44"/>
      <c r="I20" s="179"/>
      <c r="J20" s="584"/>
    </row>
    <row r="21" spans="1:10" ht="15" customHeight="1">
      <c r="A21" s="173" t="s">
        <v>19</v>
      </c>
      <c r="B21" s="91" t="s">
        <v>104</v>
      </c>
      <c r="C21" s="44"/>
      <c r="D21" s="44"/>
      <c r="E21" s="44"/>
      <c r="F21" s="91" t="s">
        <v>85</v>
      </c>
      <c r="G21" s="44"/>
      <c r="H21" s="44"/>
      <c r="I21" s="179"/>
      <c r="J21" s="584"/>
    </row>
    <row r="22" spans="1:10" ht="15" customHeight="1">
      <c r="A22" s="173" t="s">
        <v>20</v>
      </c>
      <c r="B22" s="91" t="s">
        <v>107</v>
      </c>
      <c r="C22" s="44"/>
      <c r="D22" s="44"/>
      <c r="E22" s="44"/>
      <c r="F22" s="91" t="s">
        <v>86</v>
      </c>
      <c r="G22" s="44"/>
      <c r="H22" s="44"/>
      <c r="I22" s="179"/>
      <c r="J22" s="584"/>
    </row>
    <row r="23" spans="1:10" ht="15" customHeight="1">
      <c r="A23" s="173" t="s">
        <v>21</v>
      </c>
      <c r="B23" s="91" t="s">
        <v>108</v>
      </c>
      <c r="C23" s="44"/>
      <c r="D23" s="44"/>
      <c r="E23" s="44"/>
      <c r="F23" s="89" t="s">
        <v>110</v>
      </c>
      <c r="G23" s="44"/>
      <c r="H23" s="44"/>
      <c r="I23" s="179"/>
      <c r="J23" s="584"/>
    </row>
    <row r="24" spans="1:10" ht="15" customHeight="1">
      <c r="A24" s="173" t="s">
        <v>22</v>
      </c>
      <c r="B24" s="91" t="s">
        <v>155</v>
      </c>
      <c r="C24" s="92">
        <f>+C25+C26</f>
        <v>0</v>
      </c>
      <c r="D24" s="92">
        <f>+D25+D26</f>
        <v>0</v>
      </c>
      <c r="E24" s="92">
        <f>+E25+E26</f>
        <v>0</v>
      </c>
      <c r="F24" s="91" t="s">
        <v>97</v>
      </c>
      <c r="G24" s="44"/>
      <c r="H24" s="44"/>
      <c r="I24" s="179"/>
      <c r="J24" s="584"/>
    </row>
    <row r="25" spans="1:10" ht="15" customHeight="1">
      <c r="A25" s="172" t="s">
        <v>23</v>
      </c>
      <c r="B25" s="89" t="s">
        <v>156</v>
      </c>
      <c r="C25" s="74"/>
      <c r="D25" s="74"/>
      <c r="E25" s="74"/>
      <c r="F25" s="85" t="s">
        <v>98</v>
      </c>
      <c r="G25" s="74"/>
      <c r="H25" s="74"/>
      <c r="I25" s="178"/>
      <c r="J25" s="584"/>
    </row>
    <row r="26" spans="1:10" ht="15" customHeight="1" thickBot="1">
      <c r="A26" s="173" t="s">
        <v>24</v>
      </c>
      <c r="B26" s="91" t="s">
        <v>157</v>
      </c>
      <c r="C26" s="44"/>
      <c r="D26" s="44"/>
      <c r="E26" s="209"/>
      <c r="F26" s="30" t="s">
        <v>229</v>
      </c>
      <c r="G26" s="44"/>
      <c r="H26" s="44"/>
      <c r="I26" s="179"/>
      <c r="J26" s="584"/>
    </row>
    <row r="27" spans="1:10" ht="15" customHeight="1" thickBot="1">
      <c r="A27" s="88" t="s">
        <v>25</v>
      </c>
      <c r="B27" s="53" t="s">
        <v>158</v>
      </c>
      <c r="C27" s="73">
        <f>+C19+C24</f>
        <v>18004982</v>
      </c>
      <c r="D27" s="73">
        <f>+D19+D24</f>
        <v>18004981</v>
      </c>
      <c r="E27" s="208">
        <f>+E19+E24</f>
        <v>18004981</v>
      </c>
      <c r="F27" s="53" t="s">
        <v>162</v>
      </c>
      <c r="G27" s="73">
        <f>SUM(G19:G26)</f>
        <v>0</v>
      </c>
      <c r="H27" s="73">
        <f>SUM(H19:H26)</f>
        <v>0</v>
      </c>
      <c r="I27" s="176">
        <f>SUM(I19:I26)</f>
        <v>0</v>
      </c>
      <c r="J27" s="584"/>
    </row>
    <row r="28" spans="1:10" ht="15" customHeight="1" thickBot="1">
      <c r="A28" s="88" t="s">
        <v>26</v>
      </c>
      <c r="B28" s="93" t="s">
        <v>159</v>
      </c>
      <c r="C28" s="412">
        <f>+C18+C27</f>
        <v>294767632</v>
      </c>
      <c r="D28" s="412">
        <f>+D18+D27</f>
        <v>306552024</v>
      </c>
      <c r="E28" s="413">
        <f>+E18+E27</f>
        <v>301945765</v>
      </c>
      <c r="F28" s="93" t="s">
        <v>163</v>
      </c>
      <c r="G28" s="412">
        <f>+G18+G27</f>
        <v>294767632</v>
      </c>
      <c r="H28" s="412">
        <f>+H18+H27</f>
        <v>306552024</v>
      </c>
      <c r="I28" s="413">
        <f>+I18+I27</f>
        <v>273004867</v>
      </c>
      <c r="J28" s="584"/>
    </row>
    <row r="29" spans="1:10" ht="15" customHeight="1" thickBot="1">
      <c r="A29" s="88" t="s">
        <v>27</v>
      </c>
      <c r="B29" s="93" t="s">
        <v>87</v>
      </c>
      <c r="C29" s="412">
        <f>IF(C18-G18&lt;0,G18-C18,"-")</f>
        <v>18004982</v>
      </c>
      <c r="D29" s="412">
        <f>IF(D18-H18&lt;0,H18-D18,"-")</f>
        <v>18004981</v>
      </c>
      <c r="E29" s="413" t="str">
        <f>IF(E18-I18&lt;0,I18-E18,"-")</f>
        <v>-</v>
      </c>
      <c r="F29" s="93" t="s">
        <v>88</v>
      </c>
      <c r="G29" s="412" t="str">
        <f>IF(C18-G18&gt;0,C18-G18,"-")</f>
        <v>-</v>
      </c>
      <c r="H29" s="412" t="str">
        <f>IF(D18-H18&gt;0,D18-H18,"-")</f>
        <v>-</v>
      </c>
      <c r="I29" s="413">
        <f>IF(E18-I18&gt;0,E18-I18,"-")</f>
        <v>10935917</v>
      </c>
      <c r="J29" s="584"/>
    </row>
    <row r="30" spans="1:10" ht="15" customHeight="1" thickBot="1">
      <c r="A30" s="88" t="s">
        <v>28</v>
      </c>
      <c r="B30" s="93" t="s">
        <v>336</v>
      </c>
      <c r="C30" s="412" t="str">
        <f>IF(C28-G28&lt;0,G28-C28,"-")</f>
        <v>-</v>
      </c>
      <c r="D30" s="412" t="str">
        <f>IF(D28-H28&lt;0,H28-D28,"-")</f>
        <v>-</v>
      </c>
      <c r="E30" s="412" t="str">
        <f>IF(E28-I28&lt;0,I28-E28,"-")</f>
        <v>-</v>
      </c>
      <c r="F30" s="93" t="s">
        <v>337</v>
      </c>
      <c r="G30" s="412" t="str">
        <f>IF(C28-G28&gt;0,C28-G28,"-")</f>
        <v>-</v>
      </c>
      <c r="H30" s="412" t="str">
        <f>IF(D28-H28&gt;0,D28-H28,"-")</f>
        <v>-</v>
      </c>
      <c r="I30" s="431">
        <f>IF(E28-I28&gt;0,E28-I28,"-")</f>
        <v>28940898</v>
      </c>
      <c r="J30" s="584"/>
    </row>
  </sheetData>
  <sheetProtection/>
  <mergeCells count="2">
    <mergeCell ref="A3:A4"/>
    <mergeCell ref="J1:J30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120" zoomScaleNormal="120" zoomScaleSheetLayoutView="115" workbookViewId="0" topLeftCell="A10">
      <selection activeCell="L11" sqref="L11"/>
    </sheetView>
  </sheetViews>
  <sheetFormatPr defaultColWidth="9.00390625" defaultRowHeight="12.75"/>
  <cols>
    <col min="1" max="1" width="6.875" style="36" customWidth="1"/>
    <col min="2" max="2" width="55.125" style="54" customWidth="1"/>
    <col min="3" max="5" width="16.375" style="36" customWidth="1"/>
    <col min="6" max="6" width="55.125" style="36" customWidth="1"/>
    <col min="7" max="9" width="16.375" style="36" customWidth="1"/>
    <col min="10" max="10" width="4.875" style="36" customWidth="1"/>
    <col min="11" max="16384" width="9.375" style="36" customWidth="1"/>
  </cols>
  <sheetData>
    <row r="1" spans="1:10" ht="39.75" customHeight="1">
      <c r="A1" s="439"/>
      <c r="B1" s="440" t="s">
        <v>355</v>
      </c>
      <c r="C1" s="441"/>
      <c r="D1" s="441"/>
      <c r="E1" s="441"/>
      <c r="F1" s="441"/>
      <c r="G1" s="441"/>
      <c r="H1" s="441"/>
      <c r="I1" s="441"/>
      <c r="J1" s="584" t="str">
        <f>CONCATENATE("2.2. melléklet"," ",ALAPADATOK!A7," ",ALAPADATOK!B7," ",ALAPADATOK!C7," ",ALAPADATOK!D7," ",ALAPADATOK!E7," ",ALAPADATOK!F7," ",ALAPADATOK!G7," ",ALAPADATOK!H7)</f>
        <v>2.2. melléklet a … / 2024. ( … ) önkormányzati határozathoz</v>
      </c>
    </row>
    <row r="2" spans="1:10" ht="14.25" thickBot="1">
      <c r="A2" s="439"/>
      <c r="B2" s="442"/>
      <c r="C2" s="439"/>
      <c r="D2" s="439"/>
      <c r="E2" s="439"/>
      <c r="F2" s="439"/>
      <c r="G2" s="443"/>
      <c r="H2" s="443"/>
      <c r="I2" s="443" t="str">
        <f>'2.1.sz.mell  '!I2</f>
        <v>Forintban!</v>
      </c>
      <c r="J2" s="584"/>
    </row>
    <row r="3" spans="1:10" ht="24" customHeight="1" thickBot="1">
      <c r="A3" s="585" t="s">
        <v>49</v>
      </c>
      <c r="B3" s="444" t="s">
        <v>39</v>
      </c>
      <c r="C3" s="445"/>
      <c r="D3" s="445"/>
      <c r="E3" s="445"/>
      <c r="F3" s="444" t="s">
        <v>40</v>
      </c>
      <c r="G3" s="446"/>
      <c r="H3" s="446"/>
      <c r="I3" s="446"/>
      <c r="J3" s="584"/>
    </row>
    <row r="4" spans="1:10" s="78" customFormat="1" ht="35.25" customHeight="1" thickBot="1">
      <c r="A4" s="586"/>
      <c r="B4" s="447" t="s">
        <v>42</v>
      </c>
      <c r="C4" s="448" t="str">
        <f>+'2.1.sz.mell  '!C4</f>
        <v>2023. évi eredeti előirányzat</v>
      </c>
      <c r="D4" s="449" t="str">
        <f>+'2.1.sz.mell  '!D4</f>
        <v>2023. évi módosított előirányzat</v>
      </c>
      <c r="E4" s="448" t="str">
        <f>+'2.1.sz.mell  '!E4</f>
        <v>2023. évi teljesítés</v>
      </c>
      <c r="F4" s="447" t="s">
        <v>42</v>
      </c>
      <c r="G4" s="448" t="str">
        <f>+C4</f>
        <v>2023. évi eredeti előirányzat</v>
      </c>
      <c r="H4" s="449" t="str">
        <f>+D4</f>
        <v>2023. évi módosított előirányzat</v>
      </c>
      <c r="I4" s="450" t="str">
        <f>+E4</f>
        <v>2023. évi teljesítés</v>
      </c>
      <c r="J4" s="584"/>
    </row>
    <row r="5" spans="1:10" s="78" customFormat="1" ht="13.5" thickBot="1">
      <c r="A5" s="79">
        <v>1</v>
      </c>
      <c r="B5" s="80">
        <v>2</v>
      </c>
      <c r="C5" s="81">
        <v>3</v>
      </c>
      <c r="D5" s="81">
        <v>4</v>
      </c>
      <c r="E5" s="81">
        <v>5</v>
      </c>
      <c r="F5" s="80">
        <v>6</v>
      </c>
      <c r="G5" s="81">
        <v>7</v>
      </c>
      <c r="H5" s="81">
        <v>8</v>
      </c>
      <c r="I5" s="82">
        <v>9</v>
      </c>
      <c r="J5" s="584"/>
    </row>
    <row r="6" spans="1:10" ht="12.75" customHeight="1">
      <c r="A6" s="84" t="s">
        <v>4</v>
      </c>
      <c r="B6" s="85" t="s">
        <v>164</v>
      </c>
      <c r="C6" s="69">
        <v>215900</v>
      </c>
      <c r="D6" s="69"/>
      <c r="E6" s="69"/>
      <c r="F6" s="85" t="s">
        <v>105</v>
      </c>
      <c r="G6" s="143">
        <v>215900</v>
      </c>
      <c r="H6" s="143"/>
      <c r="I6" s="182"/>
      <c r="J6" s="584"/>
    </row>
    <row r="7" spans="1:10" ht="22.5" customHeight="1">
      <c r="A7" s="86" t="s">
        <v>5</v>
      </c>
      <c r="B7" s="87" t="s">
        <v>165</v>
      </c>
      <c r="C7" s="70"/>
      <c r="D7" s="70"/>
      <c r="E7" s="70"/>
      <c r="F7" s="87" t="s">
        <v>173</v>
      </c>
      <c r="G7" s="70"/>
      <c r="H7" s="70"/>
      <c r="I7" s="147"/>
      <c r="J7" s="584"/>
    </row>
    <row r="8" spans="1:10" ht="12.75" customHeight="1">
      <c r="A8" s="86" t="s">
        <v>6</v>
      </c>
      <c r="B8" s="87" t="s">
        <v>166</v>
      </c>
      <c r="C8" s="70"/>
      <c r="D8" s="70"/>
      <c r="E8" s="70"/>
      <c r="F8" s="87" t="s">
        <v>95</v>
      </c>
      <c r="G8" s="70"/>
      <c r="H8" s="70"/>
      <c r="I8" s="147"/>
      <c r="J8" s="584"/>
    </row>
    <row r="9" spans="1:10" ht="12.75" customHeight="1">
      <c r="A9" s="86" t="s">
        <v>7</v>
      </c>
      <c r="B9" s="87" t="s">
        <v>167</v>
      </c>
      <c r="C9" s="70"/>
      <c r="D9" s="70"/>
      <c r="E9" s="70"/>
      <c r="F9" s="87" t="s">
        <v>174</v>
      </c>
      <c r="G9" s="70"/>
      <c r="H9" s="70"/>
      <c r="I9" s="147"/>
      <c r="J9" s="584"/>
    </row>
    <row r="10" spans="1:10" ht="12.75" customHeight="1">
      <c r="A10" s="86" t="s">
        <v>8</v>
      </c>
      <c r="B10" s="87" t="s">
        <v>168</v>
      </c>
      <c r="C10" s="70"/>
      <c r="D10" s="70"/>
      <c r="E10" s="70"/>
      <c r="F10" s="87" t="s">
        <v>106</v>
      </c>
      <c r="G10" s="70"/>
      <c r="H10" s="70"/>
      <c r="I10" s="147"/>
      <c r="J10" s="584"/>
    </row>
    <row r="11" spans="1:10" ht="12.75" customHeight="1">
      <c r="A11" s="86" t="s">
        <v>9</v>
      </c>
      <c r="B11" s="87" t="s">
        <v>169</v>
      </c>
      <c r="C11" s="71"/>
      <c r="D11" s="71"/>
      <c r="E11" s="71"/>
      <c r="F11" s="212"/>
      <c r="G11" s="70"/>
      <c r="H11" s="70"/>
      <c r="I11" s="147"/>
      <c r="J11" s="584"/>
    </row>
    <row r="12" spans="1:10" ht="12.75" customHeight="1">
      <c r="A12" s="86" t="s">
        <v>10</v>
      </c>
      <c r="B12" s="30"/>
      <c r="C12" s="70"/>
      <c r="D12" s="70"/>
      <c r="E12" s="70"/>
      <c r="F12" s="212"/>
      <c r="G12" s="70"/>
      <c r="H12" s="70"/>
      <c r="I12" s="147"/>
      <c r="J12" s="584"/>
    </row>
    <row r="13" spans="1:10" ht="12.75" customHeight="1">
      <c r="A13" s="86" t="s">
        <v>11</v>
      </c>
      <c r="B13" s="30"/>
      <c r="C13" s="70"/>
      <c r="D13" s="70"/>
      <c r="E13" s="70"/>
      <c r="F13" s="213"/>
      <c r="G13" s="70"/>
      <c r="H13" s="70"/>
      <c r="I13" s="147"/>
      <c r="J13" s="584"/>
    </row>
    <row r="14" spans="1:10" ht="12.75" customHeight="1">
      <c r="A14" s="86" t="s">
        <v>12</v>
      </c>
      <c r="B14" s="210"/>
      <c r="C14" s="71"/>
      <c r="D14" s="71"/>
      <c r="E14" s="71"/>
      <c r="F14" s="212"/>
      <c r="G14" s="70"/>
      <c r="H14" s="70"/>
      <c r="I14" s="147"/>
      <c r="J14" s="584"/>
    </row>
    <row r="15" spans="1:10" ht="22.5" customHeight="1">
      <c r="A15" s="86" t="s">
        <v>13</v>
      </c>
      <c r="B15" s="30"/>
      <c r="C15" s="71"/>
      <c r="D15" s="71"/>
      <c r="E15" s="71"/>
      <c r="F15" s="212"/>
      <c r="G15" s="70"/>
      <c r="H15" s="70"/>
      <c r="I15" s="147"/>
      <c r="J15" s="584"/>
    </row>
    <row r="16" spans="1:10" ht="12.75" customHeight="1" thickBot="1">
      <c r="A16" s="148" t="s">
        <v>14</v>
      </c>
      <c r="B16" s="180"/>
      <c r="C16" s="181"/>
      <c r="D16" s="181"/>
      <c r="E16" s="181"/>
      <c r="F16" s="149"/>
      <c r="G16" s="144"/>
      <c r="H16" s="144"/>
      <c r="I16" s="183"/>
      <c r="J16" s="584"/>
    </row>
    <row r="17" spans="1:10" ht="12.75" customHeight="1" thickBot="1">
      <c r="A17" s="88" t="s">
        <v>15</v>
      </c>
      <c r="B17" s="53" t="s">
        <v>170</v>
      </c>
      <c r="C17" s="73">
        <f>+C6+C8+C9+C11+C12+C13+C14+C15+C16</f>
        <v>215900</v>
      </c>
      <c r="D17" s="73">
        <f>+D6+D8+D9+D11+D12+D13+D14+D15+D16</f>
        <v>0</v>
      </c>
      <c r="E17" s="73">
        <f>+E6+E8+E9+E11+E12+E13+E14+E15+E16</f>
        <v>0</v>
      </c>
      <c r="F17" s="53" t="s">
        <v>175</v>
      </c>
      <c r="G17" s="73">
        <f>+G6+G8+G10+G11+G12+G13+G14+G15+G16</f>
        <v>215900</v>
      </c>
      <c r="H17" s="73">
        <f>+H6+H8+H10+H11+H12+H13+H14+H15+H16</f>
        <v>0</v>
      </c>
      <c r="I17" s="176">
        <f>+I6+I8+I10+I11+I12+I13+I14+I15+I16</f>
        <v>0</v>
      </c>
      <c r="J17" s="584"/>
    </row>
    <row r="18" spans="1:10" ht="15.75" customHeight="1">
      <c r="A18" s="84" t="s">
        <v>16</v>
      </c>
      <c r="B18" s="95" t="s">
        <v>122</v>
      </c>
      <c r="C18" s="102">
        <f>+C19+C20+C21+C22+C23</f>
        <v>0</v>
      </c>
      <c r="D18" s="102">
        <f>+D19+D20+D21+D22+D23</f>
        <v>0</v>
      </c>
      <c r="E18" s="102">
        <f>+E19+E20+E21+E22+E23</f>
        <v>0</v>
      </c>
      <c r="F18" s="91" t="s">
        <v>96</v>
      </c>
      <c r="G18" s="140"/>
      <c r="H18" s="140"/>
      <c r="I18" s="184"/>
      <c r="J18" s="584"/>
    </row>
    <row r="19" spans="1:10" ht="12.75" customHeight="1">
      <c r="A19" s="86" t="s">
        <v>17</v>
      </c>
      <c r="B19" s="96" t="s">
        <v>111</v>
      </c>
      <c r="C19" s="44"/>
      <c r="D19" s="44"/>
      <c r="E19" s="44"/>
      <c r="F19" s="91" t="s">
        <v>99</v>
      </c>
      <c r="G19" s="44"/>
      <c r="H19" s="44"/>
      <c r="I19" s="179"/>
      <c r="J19" s="584"/>
    </row>
    <row r="20" spans="1:10" ht="12.75" customHeight="1">
      <c r="A20" s="84" t="s">
        <v>18</v>
      </c>
      <c r="B20" s="96" t="s">
        <v>112</v>
      </c>
      <c r="C20" s="44"/>
      <c r="D20" s="44"/>
      <c r="E20" s="44"/>
      <c r="F20" s="91" t="s">
        <v>85</v>
      </c>
      <c r="G20" s="44"/>
      <c r="H20" s="44"/>
      <c r="I20" s="179"/>
      <c r="J20" s="584"/>
    </row>
    <row r="21" spans="1:10" ht="12.75" customHeight="1">
      <c r="A21" s="86" t="s">
        <v>19</v>
      </c>
      <c r="B21" s="96" t="s">
        <v>113</v>
      </c>
      <c r="C21" s="44"/>
      <c r="D21" s="44"/>
      <c r="E21" s="44"/>
      <c r="F21" s="91" t="s">
        <v>86</v>
      </c>
      <c r="G21" s="44"/>
      <c r="H21" s="44"/>
      <c r="I21" s="179"/>
      <c r="J21" s="584"/>
    </row>
    <row r="22" spans="1:10" ht="12.75" customHeight="1">
      <c r="A22" s="84" t="s">
        <v>20</v>
      </c>
      <c r="B22" s="96" t="s">
        <v>114</v>
      </c>
      <c r="C22" s="44"/>
      <c r="D22" s="44"/>
      <c r="E22" s="44"/>
      <c r="F22" s="89" t="s">
        <v>110</v>
      </c>
      <c r="G22" s="44"/>
      <c r="H22" s="44"/>
      <c r="I22" s="179"/>
      <c r="J22" s="584"/>
    </row>
    <row r="23" spans="1:10" ht="12.75" customHeight="1">
      <c r="A23" s="86" t="s">
        <v>21</v>
      </c>
      <c r="B23" s="97" t="s">
        <v>115</v>
      </c>
      <c r="C23" s="44"/>
      <c r="D23" s="209"/>
      <c r="E23" s="44"/>
      <c r="F23" s="91" t="s">
        <v>100</v>
      </c>
      <c r="G23" s="44"/>
      <c r="H23" s="44"/>
      <c r="I23" s="179"/>
      <c r="J23" s="584"/>
    </row>
    <row r="24" spans="1:10" ht="12.75" customHeight="1">
      <c r="A24" s="84" t="s">
        <v>22</v>
      </c>
      <c r="B24" s="98" t="s">
        <v>116</v>
      </c>
      <c r="C24" s="92">
        <f>+C25+C26+C27+C28+C29</f>
        <v>0</v>
      </c>
      <c r="D24" s="211">
        <f>+D25+D26+D27+D28+D29</f>
        <v>0</v>
      </c>
      <c r="E24" s="92">
        <f>+E25+E26+E27+E28+E29</f>
        <v>0</v>
      </c>
      <c r="F24" s="99" t="s">
        <v>98</v>
      </c>
      <c r="G24" s="44"/>
      <c r="H24" s="44"/>
      <c r="I24" s="179"/>
      <c r="J24" s="584"/>
    </row>
    <row r="25" spans="1:10" ht="12.75" customHeight="1">
      <c r="A25" s="86" t="s">
        <v>23</v>
      </c>
      <c r="B25" s="97" t="s">
        <v>117</v>
      </c>
      <c r="C25" s="44"/>
      <c r="D25" s="209"/>
      <c r="E25" s="44"/>
      <c r="F25" s="99" t="s">
        <v>176</v>
      </c>
      <c r="G25" s="44"/>
      <c r="H25" s="44"/>
      <c r="I25" s="179"/>
      <c r="J25" s="584"/>
    </row>
    <row r="26" spans="1:10" ht="12.75" customHeight="1">
      <c r="A26" s="84" t="s">
        <v>24</v>
      </c>
      <c r="B26" s="97" t="s">
        <v>118</v>
      </c>
      <c r="C26" s="44"/>
      <c r="D26" s="209"/>
      <c r="E26" s="44"/>
      <c r="F26" s="94"/>
      <c r="G26" s="44"/>
      <c r="H26" s="44"/>
      <c r="I26" s="179"/>
      <c r="J26" s="584"/>
    </row>
    <row r="27" spans="1:10" ht="12.75" customHeight="1">
      <c r="A27" s="86" t="s">
        <v>25</v>
      </c>
      <c r="B27" s="96" t="s">
        <v>119</v>
      </c>
      <c r="C27" s="44"/>
      <c r="D27" s="44"/>
      <c r="E27" s="209"/>
      <c r="F27" s="51"/>
      <c r="G27" s="44"/>
      <c r="H27" s="44"/>
      <c r="I27" s="179"/>
      <c r="J27" s="584"/>
    </row>
    <row r="28" spans="1:10" ht="12.75" customHeight="1">
      <c r="A28" s="84" t="s">
        <v>26</v>
      </c>
      <c r="B28" s="100" t="s">
        <v>120</v>
      </c>
      <c r="C28" s="44"/>
      <c r="D28" s="44"/>
      <c r="E28" s="209"/>
      <c r="F28" s="30"/>
      <c r="G28" s="44"/>
      <c r="H28" s="44"/>
      <c r="I28" s="179"/>
      <c r="J28" s="584"/>
    </row>
    <row r="29" spans="1:10" ht="12.75" customHeight="1" thickBot="1">
      <c r="A29" s="86" t="s">
        <v>27</v>
      </c>
      <c r="B29" s="101" t="s">
        <v>121</v>
      </c>
      <c r="C29" s="44"/>
      <c r="D29" s="44"/>
      <c r="E29" s="209"/>
      <c r="F29" s="51"/>
      <c r="G29" s="44"/>
      <c r="H29" s="44"/>
      <c r="I29" s="179"/>
      <c r="J29" s="584"/>
    </row>
    <row r="30" spans="1:10" ht="12.75" customHeight="1" thickBot="1">
      <c r="A30" s="88" t="s">
        <v>28</v>
      </c>
      <c r="B30" s="53" t="s">
        <v>171</v>
      </c>
      <c r="C30" s="73">
        <f>+C18+C24</f>
        <v>0</v>
      </c>
      <c r="D30" s="73">
        <f>+D18+D24</f>
        <v>0</v>
      </c>
      <c r="E30" s="208">
        <f>+E18+E24</f>
        <v>0</v>
      </c>
      <c r="F30" s="53" t="s">
        <v>232</v>
      </c>
      <c r="G30" s="73">
        <f>SUM(G18:G29)</f>
        <v>0</v>
      </c>
      <c r="H30" s="73">
        <f>SUM(H18:H29)</f>
        <v>0</v>
      </c>
      <c r="I30" s="176">
        <f>SUM(I18:I29)</f>
        <v>0</v>
      </c>
      <c r="J30" s="584"/>
    </row>
    <row r="31" spans="1:10" ht="21.75" customHeight="1" thickBot="1">
      <c r="A31" s="88" t="s">
        <v>29</v>
      </c>
      <c r="B31" s="93" t="s">
        <v>172</v>
      </c>
      <c r="C31" s="412">
        <f>+C17+C30</f>
        <v>215900</v>
      </c>
      <c r="D31" s="412">
        <f>+D17+D30</f>
        <v>0</v>
      </c>
      <c r="E31" s="413">
        <f>+E17+E30</f>
        <v>0</v>
      </c>
      <c r="F31" s="93" t="s">
        <v>177</v>
      </c>
      <c r="G31" s="412">
        <f>+G17+G30</f>
        <v>215900</v>
      </c>
      <c r="H31" s="412">
        <f>+H17+H30</f>
        <v>0</v>
      </c>
      <c r="I31" s="413">
        <f>+I17+I30</f>
        <v>0</v>
      </c>
      <c r="J31" s="584"/>
    </row>
    <row r="32" spans="1:10" ht="18" customHeight="1" thickBot="1">
      <c r="A32" s="88" t="s">
        <v>30</v>
      </c>
      <c r="B32" s="93" t="s">
        <v>87</v>
      </c>
      <c r="C32" s="412" t="str">
        <f>IF(C17-G17&lt;0,G17-C17,"-")</f>
        <v>-</v>
      </c>
      <c r="D32" s="412" t="str">
        <f>IF(D17-H17&lt;0,H17-D17,"-")</f>
        <v>-</v>
      </c>
      <c r="E32" s="413" t="str">
        <f>IF(E17-I17&lt;0,I17-E17,"-")</f>
        <v>-</v>
      </c>
      <c r="F32" s="93" t="s">
        <v>88</v>
      </c>
      <c r="G32" s="412" t="str">
        <f>IF(C17-G17&gt;0,C17-G17,"-")</f>
        <v>-</v>
      </c>
      <c r="H32" s="412" t="str">
        <f>IF(D17-H17&gt;0,D17-H17,"-")</f>
        <v>-</v>
      </c>
      <c r="I32" s="413" t="str">
        <f>IF(E17-I17&gt;0,E17-I17,"-")</f>
        <v>-</v>
      </c>
      <c r="J32" s="584"/>
    </row>
    <row r="33" spans="1:10" ht="18" customHeight="1" thickBot="1">
      <c r="A33" s="88" t="s">
        <v>31</v>
      </c>
      <c r="B33" s="93" t="s">
        <v>336</v>
      </c>
      <c r="C33" s="412" t="str">
        <f>IF(C31-G31&lt;0,G31-C31,"-")</f>
        <v>-</v>
      </c>
      <c r="D33" s="412" t="str">
        <f>IF(D31-H31&lt;0,H31-D31,"-")</f>
        <v>-</v>
      </c>
      <c r="E33" s="412" t="str">
        <f>IF(E31-I31&lt;0,I31-E31,"-")</f>
        <v>-</v>
      </c>
      <c r="F33" s="93" t="s">
        <v>337</v>
      </c>
      <c r="G33" s="412" t="str">
        <f>IF(C31-G31&gt;0,C31-G31,"-")</f>
        <v>-</v>
      </c>
      <c r="H33" s="412" t="str">
        <f>IF(D31-H31&gt;0,D31-H31,"-")</f>
        <v>-</v>
      </c>
      <c r="I33" s="431" t="str">
        <f>IF(E31-I31&gt;0,E31-I31,"-")</f>
        <v>-</v>
      </c>
      <c r="J33" s="584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workbookViewId="0" topLeftCell="A1">
      <selection activeCell="K7" sqref="K7"/>
    </sheetView>
  </sheetViews>
  <sheetFormatPr defaultColWidth="9.00390625" defaultRowHeight="12.75"/>
  <cols>
    <col min="1" max="1" width="45.50390625" style="28" customWidth="1"/>
    <col min="2" max="2" width="15.625" style="27" customWidth="1"/>
    <col min="3" max="3" width="16.375" style="27" customWidth="1"/>
    <col min="4" max="4" width="18.00390625" style="27" customWidth="1"/>
    <col min="5" max="5" width="16.625" style="27" customWidth="1"/>
    <col min="6" max="6" width="18.875" style="36" customWidth="1"/>
    <col min="7" max="7" width="17.125" style="27" customWidth="1"/>
    <col min="8" max="8" width="4.125" style="27" customWidth="1"/>
    <col min="9" max="9" width="13.875" style="27" customWidth="1"/>
    <col min="10" max="16384" width="9.375" style="27" customWidth="1"/>
  </cols>
  <sheetData>
    <row r="1" spans="1:8" ht="25.5" customHeight="1">
      <c r="A1" s="587" t="s">
        <v>233</v>
      </c>
      <c r="B1" s="587"/>
      <c r="C1" s="587"/>
      <c r="D1" s="587"/>
      <c r="E1" s="587"/>
      <c r="F1" s="587"/>
      <c r="G1" s="587"/>
      <c r="H1" s="588" t="str">
        <f>CONCATENATE("3. melléklet"," ",ALAPADATOK!A7," ",ALAPADATOK!B7," ",ALAPADATOK!C7," ",ALAPADATOK!D7," ",ALAPADATOK!E7," ",ALAPADATOK!F7," ",ALAPADATOK!G7," ",ALAPADATOK!H7)</f>
        <v>3. melléklet a … / 2024. ( … ) önkormányzati határozathoz</v>
      </c>
    </row>
    <row r="2" spans="1:8" ht="22.5" customHeight="1" thickBot="1">
      <c r="A2" s="54"/>
      <c r="B2" s="36"/>
      <c r="C2" s="36"/>
      <c r="D2" s="36"/>
      <c r="E2" s="36"/>
      <c r="F2" s="214"/>
      <c r="G2" s="214" t="str">
        <f>'2.2.sz.mell  '!I2</f>
        <v>Forintban!</v>
      </c>
      <c r="H2" s="588"/>
    </row>
    <row r="3" spans="1:8" s="29" customFormat="1" ht="44.25" customHeight="1" thickBot="1">
      <c r="A3" s="55" t="s">
        <v>45</v>
      </c>
      <c r="B3" s="56" t="s">
        <v>46</v>
      </c>
      <c r="C3" s="56" t="s">
        <v>47</v>
      </c>
      <c r="D3" s="56" t="str">
        <f>+CONCATENATE("Felhasználás     ",LEFT('1. sz. mell.'!C8,4)-1,". XII.31-ig")</f>
        <v>Felhasználás     2022. XII.31-ig</v>
      </c>
      <c r="E3" s="56" t="str">
        <f>+CONCATENATE(LEFT('1. sz. mell.'!C8,4),". évi módosított előirányzat")</f>
        <v>2023. évi módosított előirányzat</v>
      </c>
      <c r="F3" s="142" t="str">
        <f>+'2.2.sz.mell  '!E4</f>
        <v>2023. évi teljesítés</v>
      </c>
      <c r="G3" s="141" t="str">
        <f>+CONCATENATE("Összes teljesítés ",LEFT('1. sz. mell.'!C8,4),". dec. 31-ig")</f>
        <v>Összes teljesítés 2023. dec. 31-ig</v>
      </c>
      <c r="H3" s="588"/>
    </row>
    <row r="4" spans="1:8" s="36" customFormat="1" ht="12" customHeight="1" thickBot="1">
      <c r="A4" s="33">
        <v>1</v>
      </c>
      <c r="B4" s="34">
        <v>2</v>
      </c>
      <c r="C4" s="34">
        <v>3</v>
      </c>
      <c r="D4" s="34">
        <v>4</v>
      </c>
      <c r="E4" s="34">
        <v>5</v>
      </c>
      <c r="F4" s="34" t="s">
        <v>9</v>
      </c>
      <c r="G4" s="222" t="s">
        <v>134</v>
      </c>
      <c r="H4" s="588"/>
    </row>
    <row r="5" spans="1:8" ht="12.75">
      <c r="A5" s="215"/>
      <c r="B5" s="18"/>
      <c r="C5" s="216"/>
      <c r="D5" s="18"/>
      <c r="E5" s="18"/>
      <c r="F5" s="18"/>
      <c r="G5" s="551">
        <f>+D5+F5</f>
        <v>0</v>
      </c>
      <c r="H5" s="588"/>
    </row>
    <row r="6" spans="1:8" ht="12.75">
      <c r="A6" s="215"/>
      <c r="B6" s="18"/>
      <c r="C6" s="216"/>
      <c r="D6" s="18"/>
      <c r="E6" s="18"/>
      <c r="F6" s="18"/>
      <c r="G6" s="551">
        <f>+D6+F6</f>
        <v>0</v>
      </c>
      <c r="H6" s="588"/>
    </row>
    <row r="7" spans="1:8" ht="16.5" customHeight="1">
      <c r="A7" s="215"/>
      <c r="B7" s="18"/>
      <c r="C7" s="216"/>
      <c r="D7" s="18"/>
      <c r="E7" s="18"/>
      <c r="F7" s="18"/>
      <c r="G7" s="223">
        <f>+D7+F7</f>
        <v>0</v>
      </c>
      <c r="H7" s="588"/>
    </row>
    <row r="8" spans="1:8" ht="16.5" customHeight="1" thickBot="1">
      <c r="A8" s="38"/>
      <c r="B8" s="19"/>
      <c r="C8" s="217"/>
      <c r="D8" s="18"/>
      <c r="E8" s="18"/>
      <c r="F8" s="18"/>
      <c r="G8" s="223">
        <f>+D8+F8</f>
        <v>0</v>
      </c>
      <c r="H8" s="588"/>
    </row>
    <row r="9" spans="1:8" s="40" customFormat="1" ht="16.5" customHeight="1" thickBot="1">
      <c r="A9" s="57" t="s">
        <v>44</v>
      </c>
      <c r="B9" s="39">
        <f>SUM(B5:B8)</f>
        <v>0</v>
      </c>
      <c r="C9" s="50"/>
      <c r="D9" s="39">
        <f>SUM(D5:D8)</f>
        <v>0</v>
      </c>
      <c r="E9" s="39">
        <f>SUM(E5:E8)</f>
        <v>0</v>
      </c>
      <c r="F9" s="39">
        <f>SUM(F5:F8)</f>
        <v>0</v>
      </c>
      <c r="G9" s="224">
        <f>SUM(G5:G8)</f>
        <v>0</v>
      </c>
      <c r="H9" s="588"/>
    </row>
    <row r="10" ht="12.75">
      <c r="H10" s="588"/>
    </row>
    <row r="11" spans="1:8" ht="27" customHeight="1">
      <c r="A11" s="587" t="s">
        <v>234</v>
      </c>
      <c r="B11" s="587"/>
      <c r="C11" s="587"/>
      <c r="D11" s="587"/>
      <c r="E11" s="587"/>
      <c r="F11" s="587"/>
      <c r="G11" s="587"/>
      <c r="H11" s="588"/>
    </row>
    <row r="12" spans="1:8" ht="14.25" thickBot="1">
      <c r="A12" s="54"/>
      <c r="B12" s="36"/>
      <c r="C12" s="36"/>
      <c r="D12" s="36"/>
      <c r="E12" s="36"/>
      <c r="F12" s="214"/>
      <c r="G12" s="411" t="str">
        <f>G2</f>
        <v>Forintban!</v>
      </c>
      <c r="H12" s="588"/>
    </row>
    <row r="13" spans="1:8" ht="42.75" customHeight="1" thickBot="1">
      <c r="A13" s="55" t="s">
        <v>48</v>
      </c>
      <c r="B13" s="56" t="s">
        <v>46</v>
      </c>
      <c r="C13" s="56" t="s">
        <v>47</v>
      </c>
      <c r="D13" s="56" t="str">
        <f>D3</f>
        <v>Felhasználás     2022. XII.31-ig</v>
      </c>
      <c r="E13" s="56" t="str">
        <f>E3</f>
        <v>2023. évi módosított előirányzat</v>
      </c>
      <c r="F13" s="142" t="str">
        <f>+F3</f>
        <v>2023. évi teljesítés</v>
      </c>
      <c r="G13" s="141" t="str">
        <f>+G3</f>
        <v>Összes teljesítés 2023. dec. 31-ig</v>
      </c>
      <c r="H13" s="588"/>
    </row>
    <row r="14" spans="1:8" ht="13.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111">
        <v>6</v>
      </c>
      <c r="G14" s="35" t="s">
        <v>134</v>
      </c>
      <c r="H14" s="588"/>
    </row>
    <row r="15" spans="1:8" ht="16.5" customHeight="1">
      <c r="A15" s="41"/>
      <c r="B15" s="218"/>
      <c r="C15" s="37"/>
      <c r="D15" s="18"/>
      <c r="E15" s="18"/>
      <c r="F15" s="18"/>
      <c r="G15" s="112">
        <f>+D15+F15</f>
        <v>0</v>
      </c>
      <c r="H15" s="588"/>
    </row>
    <row r="16" spans="1:8" ht="16.5" customHeight="1">
      <c r="A16" s="41"/>
      <c r="B16" s="218"/>
      <c r="C16" s="37"/>
      <c r="D16" s="18"/>
      <c r="E16" s="18"/>
      <c r="F16" s="18"/>
      <c r="G16" s="112">
        <f>+D16+F16</f>
        <v>0</v>
      </c>
      <c r="H16" s="588"/>
    </row>
    <row r="17" spans="1:8" ht="16.5" customHeight="1">
      <c r="A17" s="41"/>
      <c r="B17" s="218"/>
      <c r="C17" s="37"/>
      <c r="D17" s="18"/>
      <c r="E17" s="18"/>
      <c r="F17" s="18"/>
      <c r="G17" s="112">
        <f>+D17+F17</f>
        <v>0</v>
      </c>
      <c r="H17" s="588"/>
    </row>
    <row r="18" spans="1:8" ht="16.5" customHeight="1" thickBot="1">
      <c r="A18" s="42"/>
      <c r="B18" s="219"/>
      <c r="C18" s="37"/>
      <c r="D18" s="18"/>
      <c r="E18" s="18"/>
      <c r="F18" s="18"/>
      <c r="G18" s="112">
        <f>+D18+F18</f>
        <v>0</v>
      </c>
      <c r="H18" s="588"/>
    </row>
    <row r="19" spans="1:8" ht="16.5" customHeight="1" thickBot="1">
      <c r="A19" s="57" t="s">
        <v>44</v>
      </c>
      <c r="B19" s="220">
        <f>SUM(B15:B18)</f>
        <v>0</v>
      </c>
      <c r="C19" s="221"/>
      <c r="D19" s="220">
        <f>SUM(D15:D18)</f>
        <v>0</v>
      </c>
      <c r="E19" s="220">
        <f>SUM(E15:E18)</f>
        <v>0</v>
      </c>
      <c r="F19" s="220">
        <f>SUM(F15:F18)</f>
        <v>0</v>
      </c>
      <c r="G19" s="225">
        <f>SUM(G15:G18)</f>
        <v>0</v>
      </c>
      <c r="H19" s="588"/>
    </row>
  </sheetData>
  <sheetProtection/>
  <mergeCells count="3">
    <mergeCell ref="A11:G11"/>
    <mergeCell ref="A1:G1"/>
    <mergeCell ref="H1:H19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="120" zoomScaleNormal="120" workbookViewId="0" topLeftCell="A1">
      <selection activeCell="S12" sqref="S12"/>
    </sheetView>
  </sheetViews>
  <sheetFormatPr defaultColWidth="9.00390625" defaultRowHeight="12.75"/>
  <cols>
    <col min="1" max="1" width="28.50390625" style="31" customWidth="1"/>
    <col min="2" max="12" width="10.00390625" style="31" customWidth="1"/>
    <col min="13" max="13" width="14.375" style="31" customWidth="1"/>
    <col min="14" max="14" width="4.875" style="31" customWidth="1"/>
    <col min="15" max="16384" width="9.375" style="31" customWidth="1"/>
  </cols>
  <sheetData>
    <row r="1" spans="1:13" ht="15.75">
      <c r="A1" s="589" t="s">
        <v>338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3" ht="15.75">
      <c r="A2" s="589" t="s">
        <v>339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</row>
    <row r="3" spans="1:14" ht="15.75">
      <c r="A3" s="600" t="s">
        <v>0</v>
      </c>
      <c r="B3" s="600"/>
      <c r="C3" s="60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6" t="str">
        <f>CONCATENATE("4. melléklet"," ",ALAPADATOK!A7," ",ALAPADATOK!B7," ",ALAPADATOK!C7," ",ALAPADATOK!D7," ",ALAPADATOK!E7," ",ALAPADATOK!F7," ",ALAPADATOK!G7," ",ALAPADATOK!H7)</f>
        <v>4. melléklet a … / 2024. ( … ) önkormányzati határozathoz</v>
      </c>
    </row>
    <row r="4" spans="1:14" ht="15.75" thickBo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599" t="str">
        <f>'3.sz.mell.'!G2</f>
        <v>Forintban!</v>
      </c>
      <c r="M4" s="599"/>
      <c r="N4" s="596"/>
    </row>
    <row r="5" spans="1:14" ht="13.5" thickBot="1">
      <c r="A5" s="607" t="s">
        <v>67</v>
      </c>
      <c r="B5" s="612" t="s">
        <v>129</v>
      </c>
      <c r="C5" s="612"/>
      <c r="D5" s="612"/>
      <c r="E5" s="612"/>
      <c r="F5" s="612"/>
      <c r="G5" s="612"/>
      <c r="H5" s="612"/>
      <c r="I5" s="612"/>
      <c r="J5" s="591" t="s">
        <v>131</v>
      </c>
      <c r="K5" s="591"/>
      <c r="L5" s="591"/>
      <c r="M5" s="591"/>
      <c r="N5" s="596"/>
    </row>
    <row r="6" spans="1:14" ht="15" customHeight="1" thickBot="1">
      <c r="A6" s="608"/>
      <c r="B6" s="603" t="s">
        <v>132</v>
      </c>
      <c r="C6" s="595" t="s">
        <v>133</v>
      </c>
      <c r="D6" s="594" t="s">
        <v>125</v>
      </c>
      <c r="E6" s="594"/>
      <c r="F6" s="594"/>
      <c r="G6" s="594"/>
      <c r="H6" s="594"/>
      <c r="I6" s="594"/>
      <c r="J6" s="592"/>
      <c r="K6" s="592"/>
      <c r="L6" s="592"/>
      <c r="M6" s="592"/>
      <c r="N6" s="596"/>
    </row>
    <row r="7" spans="1:14" ht="21.75" thickBot="1">
      <c r="A7" s="608"/>
      <c r="B7" s="603"/>
      <c r="C7" s="595"/>
      <c r="D7" s="453" t="s">
        <v>132</v>
      </c>
      <c r="E7" s="453" t="s">
        <v>133</v>
      </c>
      <c r="F7" s="453" t="s">
        <v>132</v>
      </c>
      <c r="G7" s="453" t="s">
        <v>133</v>
      </c>
      <c r="H7" s="453" t="s">
        <v>132</v>
      </c>
      <c r="I7" s="453" t="s">
        <v>133</v>
      </c>
      <c r="J7" s="592"/>
      <c r="K7" s="592"/>
      <c r="L7" s="592"/>
      <c r="M7" s="592"/>
      <c r="N7" s="596"/>
    </row>
    <row r="8" spans="1:14" ht="21.75" thickBot="1">
      <c r="A8" s="609"/>
      <c r="B8" s="595" t="s">
        <v>126</v>
      </c>
      <c r="C8" s="595"/>
      <c r="D8" s="595" t="str">
        <f>+CONCATENATE(LEFT('1. sz. mell.'!C8,4),". előtt")</f>
        <v>2023. előtt</v>
      </c>
      <c r="E8" s="595"/>
      <c r="F8" s="595" t="str">
        <f>+CONCATENATE(LEFT('1. sz. mell.'!C8,4),". évi")</f>
        <v>2023. évi</v>
      </c>
      <c r="G8" s="595"/>
      <c r="H8" s="603" t="str">
        <f>+CONCATENATE(LEFT('1. sz. mell.'!C8,4),". után")</f>
        <v>2023. után</v>
      </c>
      <c r="I8" s="603"/>
      <c r="J8" s="452" t="str">
        <f>+D8</f>
        <v>2023. előtt</v>
      </c>
      <c r="K8" s="453" t="str">
        <f>+F8</f>
        <v>2023. évi</v>
      </c>
      <c r="L8" s="452" t="s">
        <v>35</v>
      </c>
      <c r="M8" s="453" t="str">
        <f>+CONCATENATE("Teljesítés %-a ",LEFT('1. sz. mell.'!C8,4),". XII. 31-ig")</f>
        <v>Teljesítés %-a 2023. XII. 31-ig</v>
      </c>
      <c r="N8" s="596"/>
    </row>
    <row r="9" spans="1:14" ht="13.5" thickBot="1">
      <c r="A9" s="454">
        <v>1</v>
      </c>
      <c r="B9" s="452">
        <v>2</v>
      </c>
      <c r="C9" s="452">
        <v>3</v>
      </c>
      <c r="D9" s="455">
        <v>4</v>
      </c>
      <c r="E9" s="453">
        <v>5</v>
      </c>
      <c r="F9" s="453">
        <v>6</v>
      </c>
      <c r="G9" s="453">
        <v>7</v>
      </c>
      <c r="H9" s="452">
        <v>8</v>
      </c>
      <c r="I9" s="455">
        <v>9</v>
      </c>
      <c r="J9" s="455">
        <v>10</v>
      </c>
      <c r="K9" s="455">
        <v>11</v>
      </c>
      <c r="L9" s="455" t="s">
        <v>128</v>
      </c>
      <c r="M9" s="456" t="s">
        <v>127</v>
      </c>
      <c r="N9" s="596"/>
    </row>
    <row r="10" spans="1:14" ht="12.75">
      <c r="A10" s="113" t="s">
        <v>68</v>
      </c>
      <c r="B10" s="414"/>
      <c r="C10" s="415"/>
      <c r="D10" s="415"/>
      <c r="E10" s="416"/>
      <c r="F10" s="415"/>
      <c r="G10" s="415"/>
      <c r="H10" s="415"/>
      <c r="I10" s="415"/>
      <c r="J10" s="415"/>
      <c r="K10" s="415"/>
      <c r="L10" s="417">
        <f aca="true" t="shared" si="0" ref="L10:L16">+J10+K10</f>
        <v>0</v>
      </c>
      <c r="M10" s="130">
        <f>IF((C10&lt;&gt;0),ROUND((L10/C10)*100,1),"")</f>
      </c>
      <c r="N10" s="596"/>
    </row>
    <row r="11" spans="1:14" ht="12.75">
      <c r="A11" s="114" t="s">
        <v>80</v>
      </c>
      <c r="B11" s="418"/>
      <c r="C11" s="419"/>
      <c r="D11" s="419"/>
      <c r="E11" s="419"/>
      <c r="F11" s="419"/>
      <c r="G11" s="419"/>
      <c r="H11" s="419"/>
      <c r="I11" s="419"/>
      <c r="J11" s="419"/>
      <c r="K11" s="419"/>
      <c r="L11" s="420">
        <f t="shared" si="0"/>
        <v>0</v>
      </c>
      <c r="M11" s="131">
        <f aca="true" t="shared" si="1" ref="M11:M16">IF((C11&lt;&gt;0),ROUND((L11/C11)*100,1),"")</f>
      </c>
      <c r="N11" s="596"/>
    </row>
    <row r="12" spans="1:14" ht="12.75">
      <c r="A12" s="115" t="s">
        <v>69</v>
      </c>
      <c r="B12" s="421"/>
      <c r="C12" s="422"/>
      <c r="D12" s="422"/>
      <c r="E12" s="422"/>
      <c r="F12" s="422"/>
      <c r="G12" s="422"/>
      <c r="H12" s="422"/>
      <c r="I12" s="422"/>
      <c r="J12" s="422"/>
      <c r="K12" s="422"/>
      <c r="L12" s="420">
        <f t="shared" si="0"/>
        <v>0</v>
      </c>
      <c r="M12" s="131">
        <f t="shared" si="1"/>
      </c>
      <c r="N12" s="596"/>
    </row>
    <row r="13" spans="1:14" ht="12.75">
      <c r="A13" s="115" t="s">
        <v>81</v>
      </c>
      <c r="B13" s="421"/>
      <c r="C13" s="422"/>
      <c r="D13" s="422"/>
      <c r="E13" s="422"/>
      <c r="F13" s="422"/>
      <c r="G13" s="422"/>
      <c r="H13" s="422"/>
      <c r="I13" s="422"/>
      <c r="J13" s="422"/>
      <c r="K13" s="422"/>
      <c r="L13" s="420">
        <f t="shared" si="0"/>
        <v>0</v>
      </c>
      <c r="M13" s="131">
        <f t="shared" si="1"/>
      </c>
      <c r="N13" s="596"/>
    </row>
    <row r="14" spans="1:14" ht="12.75">
      <c r="A14" s="115" t="s">
        <v>70</v>
      </c>
      <c r="B14" s="421"/>
      <c r="C14" s="422"/>
      <c r="D14" s="422"/>
      <c r="E14" s="422"/>
      <c r="F14" s="422"/>
      <c r="G14" s="422"/>
      <c r="H14" s="422"/>
      <c r="I14" s="422"/>
      <c r="J14" s="422"/>
      <c r="K14" s="422"/>
      <c r="L14" s="420">
        <f t="shared" si="0"/>
        <v>0</v>
      </c>
      <c r="M14" s="131">
        <f t="shared" si="1"/>
      </c>
      <c r="N14" s="596"/>
    </row>
    <row r="15" spans="1:14" ht="12.75">
      <c r="A15" s="115" t="s">
        <v>71</v>
      </c>
      <c r="B15" s="421"/>
      <c r="C15" s="422"/>
      <c r="D15" s="422"/>
      <c r="E15" s="422"/>
      <c r="F15" s="422"/>
      <c r="G15" s="422"/>
      <c r="H15" s="422"/>
      <c r="I15" s="422"/>
      <c r="J15" s="422"/>
      <c r="K15" s="422"/>
      <c r="L15" s="420">
        <f t="shared" si="0"/>
        <v>0</v>
      </c>
      <c r="M15" s="131">
        <f t="shared" si="1"/>
      </c>
      <c r="N15" s="596"/>
    </row>
    <row r="16" spans="1:14" ht="15" customHeight="1" thickBot="1">
      <c r="A16" s="116"/>
      <c r="B16" s="423"/>
      <c r="C16" s="424"/>
      <c r="D16" s="424"/>
      <c r="E16" s="424"/>
      <c r="F16" s="424"/>
      <c r="G16" s="424"/>
      <c r="H16" s="424"/>
      <c r="I16" s="424"/>
      <c r="J16" s="424"/>
      <c r="K16" s="424"/>
      <c r="L16" s="420">
        <f t="shared" si="0"/>
        <v>0</v>
      </c>
      <c r="M16" s="132">
        <f t="shared" si="1"/>
      </c>
      <c r="N16" s="596"/>
    </row>
    <row r="17" spans="1:14" ht="13.5" thickBot="1">
      <c r="A17" s="117" t="s">
        <v>73</v>
      </c>
      <c r="B17" s="425">
        <f>B10+SUM(B12:B16)</f>
        <v>0</v>
      </c>
      <c r="C17" s="425">
        <f aca="true" t="shared" si="2" ref="C17:L17">C10+SUM(C12:C16)</f>
        <v>0</v>
      </c>
      <c r="D17" s="425">
        <f t="shared" si="2"/>
        <v>0</v>
      </c>
      <c r="E17" s="425">
        <f t="shared" si="2"/>
        <v>0</v>
      </c>
      <c r="F17" s="425">
        <f t="shared" si="2"/>
        <v>0</v>
      </c>
      <c r="G17" s="425">
        <f t="shared" si="2"/>
        <v>0</v>
      </c>
      <c r="H17" s="425">
        <f t="shared" si="2"/>
        <v>0</v>
      </c>
      <c r="I17" s="425">
        <f t="shared" si="2"/>
        <v>0</v>
      </c>
      <c r="J17" s="425">
        <f t="shared" si="2"/>
        <v>0</v>
      </c>
      <c r="K17" s="425">
        <f t="shared" si="2"/>
        <v>0</v>
      </c>
      <c r="L17" s="425">
        <f t="shared" si="2"/>
        <v>0</v>
      </c>
      <c r="M17" s="201">
        <f>IF((C17&lt;&gt;0),ROUND((L17/C17)*100,1),"")</f>
      </c>
      <c r="N17" s="596"/>
    </row>
    <row r="18" spans="1:14" ht="4.5" customHeight="1">
      <c r="A18" s="118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596"/>
    </row>
    <row r="19" spans="1:14" ht="13.5" thickBot="1">
      <c r="A19" s="121" t="s">
        <v>72</v>
      </c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596"/>
    </row>
    <row r="20" spans="1:14" ht="12.75">
      <c r="A20" s="124" t="s">
        <v>76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26">
        <f aca="true" t="shared" si="3" ref="L20:L25">+J20+K20</f>
        <v>0</v>
      </c>
      <c r="M20" s="130">
        <f aca="true" t="shared" si="4" ref="M20:M26">IF((C20&lt;&gt;0),ROUND((L20/C20)*100,1),"")</f>
      </c>
      <c r="N20" s="596"/>
    </row>
    <row r="21" spans="1:14" ht="12.75">
      <c r="A21" s="125" t="s">
        <v>77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7">
        <f t="shared" si="3"/>
        <v>0</v>
      </c>
      <c r="M21" s="131">
        <f t="shared" si="4"/>
      </c>
      <c r="N21" s="596"/>
    </row>
    <row r="22" spans="1:14" ht="12.75">
      <c r="A22" s="125" t="s">
        <v>78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7">
        <f t="shared" si="3"/>
        <v>0</v>
      </c>
      <c r="M22" s="131">
        <f t="shared" si="4"/>
      </c>
      <c r="N22" s="596"/>
    </row>
    <row r="23" spans="1:14" ht="12.75">
      <c r="A23" s="125" t="s">
        <v>79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7">
        <f t="shared" si="3"/>
        <v>0</v>
      </c>
      <c r="M23" s="131">
        <f t="shared" si="4"/>
      </c>
      <c r="N23" s="596"/>
    </row>
    <row r="24" spans="1:14" ht="12.75">
      <c r="A24" s="126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7">
        <f t="shared" si="3"/>
        <v>0</v>
      </c>
      <c r="M24" s="131">
        <f t="shared" si="4"/>
      </c>
      <c r="N24" s="596"/>
    </row>
    <row r="25" spans="1:14" ht="13.5" thickBot="1">
      <c r="A25" s="127"/>
      <c r="B25" s="423"/>
      <c r="C25" s="423"/>
      <c r="D25" s="423"/>
      <c r="E25" s="423"/>
      <c r="F25" s="423"/>
      <c r="G25" s="423"/>
      <c r="H25" s="423"/>
      <c r="I25" s="423"/>
      <c r="J25" s="423"/>
      <c r="K25" s="423"/>
      <c r="L25" s="427">
        <f t="shared" si="3"/>
        <v>0</v>
      </c>
      <c r="M25" s="132">
        <f t="shared" si="4"/>
      </c>
      <c r="N25" s="596"/>
    </row>
    <row r="26" spans="1:14" ht="13.5" thickBot="1">
      <c r="A26" s="128" t="s">
        <v>63</v>
      </c>
      <c r="B26" s="425">
        <f aca="true" t="shared" si="5" ref="B26:L26">SUM(B20:B25)</f>
        <v>0</v>
      </c>
      <c r="C26" s="425">
        <f t="shared" si="5"/>
        <v>0</v>
      </c>
      <c r="D26" s="425">
        <f t="shared" si="5"/>
        <v>0</v>
      </c>
      <c r="E26" s="425">
        <f t="shared" si="5"/>
        <v>0</v>
      </c>
      <c r="F26" s="425">
        <f t="shared" si="5"/>
        <v>0</v>
      </c>
      <c r="G26" s="425">
        <f t="shared" si="5"/>
        <v>0</v>
      </c>
      <c r="H26" s="425">
        <f t="shared" si="5"/>
        <v>0</v>
      </c>
      <c r="I26" s="425">
        <f t="shared" si="5"/>
        <v>0</v>
      </c>
      <c r="J26" s="425">
        <f t="shared" si="5"/>
        <v>0</v>
      </c>
      <c r="K26" s="425">
        <f t="shared" si="5"/>
        <v>0</v>
      </c>
      <c r="L26" s="425">
        <f t="shared" si="5"/>
        <v>0</v>
      </c>
      <c r="M26" s="201">
        <f t="shared" si="4"/>
      </c>
      <c r="N26" s="596"/>
    </row>
    <row r="27" spans="1:14" ht="12.75">
      <c r="A27" s="593" t="s">
        <v>124</v>
      </c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6"/>
    </row>
    <row r="28" spans="1:14" ht="5.25" customHeight="1">
      <c r="A28" s="457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596"/>
    </row>
    <row r="29" spans="1:14" ht="15.75">
      <c r="A29" s="606" t="str">
        <f>+CONCATENATE("Önkormányzaton kívüli EU-s projekthez történő hozzájárulás ",LEFT('1. sz. mell.'!C8,4),". évi előirányzata és teljesítése")</f>
        <v>Önkormányzaton kívüli EU-s projekthez történő hozzájárulás 2023. évi előirányzata és teljesítése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596"/>
    </row>
    <row r="30" spans="1:14" ht="12" customHeight="1" thickBot="1">
      <c r="A30" s="439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599" t="str">
        <f>L4</f>
        <v>Forintban!</v>
      </c>
      <c r="M30" s="599"/>
      <c r="N30" s="596"/>
    </row>
    <row r="31" spans="1:14" ht="21.75" thickBot="1">
      <c r="A31" s="604" t="s">
        <v>74</v>
      </c>
      <c r="B31" s="605"/>
      <c r="C31" s="605"/>
      <c r="D31" s="605"/>
      <c r="E31" s="605"/>
      <c r="F31" s="605"/>
      <c r="G31" s="605"/>
      <c r="H31" s="605"/>
      <c r="I31" s="605"/>
      <c r="J31" s="605"/>
      <c r="K31" s="129" t="s">
        <v>132</v>
      </c>
      <c r="L31" s="129" t="s">
        <v>133</v>
      </c>
      <c r="M31" s="129" t="s">
        <v>131</v>
      </c>
      <c r="N31" s="596"/>
    </row>
    <row r="32" spans="1:14" ht="12.75">
      <c r="A32" s="610"/>
      <c r="B32" s="611"/>
      <c r="C32" s="611"/>
      <c r="D32" s="611"/>
      <c r="E32" s="611"/>
      <c r="F32" s="611"/>
      <c r="G32" s="611"/>
      <c r="H32" s="611"/>
      <c r="I32" s="611"/>
      <c r="J32" s="611"/>
      <c r="K32" s="416"/>
      <c r="L32" s="428"/>
      <c r="M32" s="428"/>
      <c r="N32" s="596"/>
    </row>
    <row r="33" spans="1:14" ht="13.5" thickBot="1">
      <c r="A33" s="601"/>
      <c r="B33" s="602"/>
      <c r="C33" s="602"/>
      <c r="D33" s="602"/>
      <c r="E33" s="602"/>
      <c r="F33" s="602"/>
      <c r="G33" s="602"/>
      <c r="H33" s="602"/>
      <c r="I33" s="602"/>
      <c r="J33" s="602"/>
      <c r="K33" s="429"/>
      <c r="L33" s="424"/>
      <c r="M33" s="424"/>
      <c r="N33" s="596"/>
    </row>
    <row r="34" spans="1:14" ht="13.5" thickBot="1">
      <c r="A34" s="597" t="s">
        <v>36</v>
      </c>
      <c r="B34" s="598"/>
      <c r="C34" s="598"/>
      <c r="D34" s="598"/>
      <c r="E34" s="598"/>
      <c r="F34" s="598"/>
      <c r="G34" s="598"/>
      <c r="H34" s="598"/>
      <c r="I34" s="598"/>
      <c r="J34" s="598"/>
      <c r="K34" s="430">
        <f>SUM(K32:K33)</f>
        <v>0</v>
      </c>
      <c r="L34" s="430">
        <f>SUM(L32:L33)</f>
        <v>0</v>
      </c>
      <c r="M34" s="430">
        <f>SUM(M32:M33)</f>
        <v>0</v>
      </c>
      <c r="N34" s="596"/>
    </row>
    <row r="50" ht="12.75">
      <c r="A50" s="32"/>
    </row>
  </sheetData>
  <sheetProtection/>
  <mergeCells count="23">
    <mergeCell ref="A32:J32"/>
    <mergeCell ref="H8:I8"/>
    <mergeCell ref="D8:E8"/>
    <mergeCell ref="B5:I5"/>
    <mergeCell ref="F8:G8"/>
    <mergeCell ref="C6:C7"/>
    <mergeCell ref="N3:N34"/>
    <mergeCell ref="A34:J34"/>
    <mergeCell ref="L30:M30"/>
    <mergeCell ref="L4:M4"/>
    <mergeCell ref="A3:C3"/>
    <mergeCell ref="A33:J33"/>
    <mergeCell ref="B6:B7"/>
    <mergeCell ref="A31:J31"/>
    <mergeCell ref="A29:M29"/>
    <mergeCell ref="A5:A8"/>
    <mergeCell ref="A1:M1"/>
    <mergeCell ref="A2:M2"/>
    <mergeCell ref="D3:M3"/>
    <mergeCell ref="J5:M7"/>
    <mergeCell ref="A27:M27"/>
    <mergeCell ref="D6:I6"/>
    <mergeCell ref="B8:C8"/>
  </mergeCells>
  <printOptions horizontalCentered="1"/>
  <pageMargins left="0.5511811023622047" right="0.5118110236220472" top="0.7874015748031497" bottom="0.7874015748031497" header="0.7874015748031497" footer="0.7874015748031497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="120" zoomScaleNormal="120" workbookViewId="0" topLeftCell="A28">
      <selection activeCell="H48" sqref="H48"/>
    </sheetView>
  </sheetViews>
  <sheetFormatPr defaultColWidth="9.00390625" defaultRowHeight="12.75"/>
  <cols>
    <col min="1" max="1" width="12.875" style="107" customWidth="1"/>
    <col min="2" max="2" width="54.875" style="108" customWidth="1"/>
    <col min="3" max="3" width="15.875" style="109" customWidth="1"/>
    <col min="4" max="4" width="16.00390625" style="109" customWidth="1"/>
    <col min="5" max="5" width="13.875" style="109" customWidth="1"/>
    <col min="6" max="16384" width="9.375" style="3" customWidth="1"/>
  </cols>
  <sheetData>
    <row r="1" spans="1:5" s="2" customFormat="1" ht="16.5" customHeight="1" thickBot="1">
      <c r="A1" s="458"/>
      <c r="B1" s="622" t="str">
        <f>CONCATENATE("5. melléklet"," ",ALAPADATOK!A7," ",ALAPADATOK!B7," ",ALAPADATOK!C7," ",ALAPADATOK!D7," ",ALAPADATOK!E7," ",ALAPADATOK!F7," ",ALAPADATOK!G7," ",ALAPADATOK!H7)</f>
        <v>5. melléklet a … / 2024. ( … ) önkormányzati határozathoz</v>
      </c>
      <c r="C1" s="623"/>
      <c r="D1" s="623"/>
      <c r="E1" s="623"/>
    </row>
    <row r="2" spans="1:5" s="45" customFormat="1" ht="34.5" customHeight="1">
      <c r="A2" s="459" t="s">
        <v>42</v>
      </c>
      <c r="B2" s="616" t="str">
        <f>ALAPADATOK!A3</f>
        <v>Bátaszék és Környéke Egészségügyi, Szociális és Gyermekjóléti Intézmény–fenntartó Társulás</v>
      </c>
      <c r="C2" s="617"/>
      <c r="D2" s="618"/>
      <c r="E2" s="460" t="s">
        <v>37</v>
      </c>
    </row>
    <row r="3" spans="1:5" s="45" customFormat="1" ht="24.75" thickBot="1">
      <c r="A3" s="461" t="s">
        <v>101</v>
      </c>
      <c r="B3" s="619"/>
      <c r="C3" s="620"/>
      <c r="D3" s="621"/>
      <c r="E3" s="462" t="s">
        <v>38</v>
      </c>
    </row>
    <row r="4" spans="1:5" s="46" customFormat="1" ht="15.75" customHeight="1" thickBot="1">
      <c r="A4" s="463"/>
      <c r="B4" s="463"/>
      <c r="C4" s="464"/>
      <c r="D4" s="464"/>
      <c r="E4" s="464" t="str">
        <f>'3.sz.mell.'!G2</f>
        <v>Forintban!</v>
      </c>
    </row>
    <row r="5" spans="1:5" ht="24.75" thickBot="1">
      <c r="A5" s="465" t="s">
        <v>102</v>
      </c>
      <c r="B5" s="466" t="s">
        <v>330</v>
      </c>
      <c r="C5" s="467" t="s">
        <v>123</v>
      </c>
      <c r="D5" s="467" t="s">
        <v>130</v>
      </c>
      <c r="E5" s="468" t="s">
        <v>131</v>
      </c>
    </row>
    <row r="6" spans="1:5" s="43" customFormat="1" ht="12.75" customHeight="1" thickBot="1">
      <c r="A6" s="58">
        <v>1</v>
      </c>
      <c r="B6" s="59">
        <v>2</v>
      </c>
      <c r="C6" s="59">
        <v>3</v>
      </c>
      <c r="D6" s="146">
        <v>4</v>
      </c>
      <c r="E6" s="145">
        <v>5</v>
      </c>
    </row>
    <row r="7" spans="1:5" s="43" customFormat="1" ht="15.75" customHeight="1" thickBot="1">
      <c r="A7" s="613" t="s">
        <v>39</v>
      </c>
      <c r="B7" s="614"/>
      <c r="C7" s="614"/>
      <c r="D7" s="614"/>
      <c r="E7" s="615"/>
    </row>
    <row r="8" spans="1:5" s="43" customFormat="1" ht="12" customHeight="1" thickBot="1">
      <c r="A8" s="22" t="s">
        <v>4</v>
      </c>
      <c r="B8" s="16" t="s">
        <v>179</v>
      </c>
      <c r="C8" s="134">
        <f>SUM(C9:C13)</f>
        <v>0</v>
      </c>
      <c r="D8" s="134">
        <f>SUM(D9:D13)</f>
        <v>0</v>
      </c>
      <c r="E8" s="152">
        <f>SUM(E9:E13)</f>
        <v>0</v>
      </c>
    </row>
    <row r="9" spans="1:5" s="47" customFormat="1" ht="12" customHeight="1">
      <c r="A9" s="185" t="s">
        <v>53</v>
      </c>
      <c r="B9" s="202" t="s">
        <v>357</v>
      </c>
      <c r="C9" s="136"/>
      <c r="D9" s="136"/>
      <c r="E9" s="154"/>
    </row>
    <row r="10" spans="1:5" s="48" customFormat="1" ht="12" customHeight="1">
      <c r="A10" s="186" t="s">
        <v>54</v>
      </c>
      <c r="B10" s="65" t="s">
        <v>181</v>
      </c>
      <c r="C10" s="135"/>
      <c r="D10" s="135"/>
      <c r="E10" s="156"/>
    </row>
    <row r="11" spans="1:5" s="48" customFormat="1" ht="12" customHeight="1">
      <c r="A11" s="186" t="s">
        <v>55</v>
      </c>
      <c r="B11" s="65" t="s">
        <v>358</v>
      </c>
      <c r="C11" s="135"/>
      <c r="D11" s="135"/>
      <c r="E11" s="156"/>
    </row>
    <row r="12" spans="1:5" s="48" customFormat="1" ht="12" customHeight="1">
      <c r="A12" s="186" t="s">
        <v>56</v>
      </c>
      <c r="B12" s="65" t="s">
        <v>359</v>
      </c>
      <c r="C12" s="135"/>
      <c r="D12" s="135"/>
      <c r="E12" s="156"/>
    </row>
    <row r="13" spans="1:5" s="48" customFormat="1" ht="12" customHeight="1" thickBot="1">
      <c r="A13" s="186" t="s">
        <v>82</v>
      </c>
      <c r="B13" s="65" t="s">
        <v>184</v>
      </c>
      <c r="C13" s="135"/>
      <c r="D13" s="135"/>
      <c r="E13" s="156"/>
    </row>
    <row r="14" spans="1:5" s="47" customFormat="1" ht="12" customHeight="1" thickBot="1">
      <c r="A14" s="22" t="s">
        <v>5</v>
      </c>
      <c r="B14" s="64" t="s">
        <v>152</v>
      </c>
      <c r="C14" s="161">
        <v>200676850</v>
      </c>
      <c r="D14" s="161">
        <v>206564889</v>
      </c>
      <c r="E14" s="162">
        <v>206564889</v>
      </c>
    </row>
    <row r="15" spans="1:5" s="47" customFormat="1" ht="12" customHeight="1" thickBot="1">
      <c r="A15" s="22" t="s">
        <v>6</v>
      </c>
      <c r="B15" s="16" t="s">
        <v>164</v>
      </c>
      <c r="C15" s="161">
        <v>215900</v>
      </c>
      <c r="D15" s="161"/>
      <c r="E15" s="162"/>
    </row>
    <row r="16" spans="1:5" s="47" customFormat="1" ht="12" customHeight="1" thickBot="1">
      <c r="A16" s="22" t="s">
        <v>7</v>
      </c>
      <c r="B16" s="16" t="s">
        <v>203</v>
      </c>
      <c r="C16" s="161"/>
      <c r="D16" s="161">
        <v>20</v>
      </c>
      <c r="E16" s="162">
        <v>20</v>
      </c>
    </row>
    <row r="17" spans="1:5" s="47" customFormat="1" ht="12" customHeight="1" thickBot="1">
      <c r="A17" s="22" t="s">
        <v>8</v>
      </c>
      <c r="B17" s="16" t="s">
        <v>166</v>
      </c>
      <c r="C17" s="161"/>
      <c r="D17" s="161"/>
      <c r="E17" s="162"/>
    </row>
    <row r="18" spans="1:5" s="47" customFormat="1" ht="12" customHeight="1" thickBot="1">
      <c r="A18" s="22" t="s">
        <v>9</v>
      </c>
      <c r="B18" s="16" t="s">
        <v>153</v>
      </c>
      <c r="C18" s="161"/>
      <c r="D18" s="161"/>
      <c r="E18" s="162"/>
    </row>
    <row r="19" spans="1:5" s="47" customFormat="1" ht="12" customHeight="1" thickBot="1">
      <c r="A19" s="22" t="s">
        <v>10</v>
      </c>
      <c r="B19" s="64" t="s">
        <v>186</v>
      </c>
      <c r="C19" s="161"/>
      <c r="D19" s="161"/>
      <c r="E19" s="162"/>
    </row>
    <row r="20" spans="1:5" s="47" customFormat="1" ht="12" customHeight="1" thickBot="1">
      <c r="A20" s="22" t="s">
        <v>11</v>
      </c>
      <c r="B20" s="16" t="s">
        <v>205</v>
      </c>
      <c r="C20" s="139">
        <f>+C8+C14+C15+C16+C17+C18+C19</f>
        <v>200892750</v>
      </c>
      <c r="D20" s="139">
        <f>+D8+D14+D15+D16+D17+D18+D19</f>
        <v>206564909</v>
      </c>
      <c r="E20" s="159">
        <f>+E8+E14+E15+E16+E17+E18+E19</f>
        <v>206564909</v>
      </c>
    </row>
    <row r="21" spans="1:5" s="48" customFormat="1" ht="12" customHeight="1" thickBot="1">
      <c r="A21" s="187" t="s">
        <v>12</v>
      </c>
      <c r="B21" s="64" t="s">
        <v>188</v>
      </c>
      <c r="C21" s="134">
        <f>SUM(C22:C26)</f>
        <v>16752547</v>
      </c>
      <c r="D21" s="134">
        <f>SUM(D22:D26)</f>
        <v>16752547</v>
      </c>
      <c r="E21" s="152">
        <f>SUM(E22:E26)</f>
        <v>16752547</v>
      </c>
    </row>
    <row r="22" spans="1:5" s="48" customFormat="1" ht="12" customHeight="1">
      <c r="A22" s="186" t="s">
        <v>189</v>
      </c>
      <c r="B22" s="153" t="s">
        <v>190</v>
      </c>
      <c r="C22" s="138"/>
      <c r="D22" s="138"/>
      <c r="E22" s="160"/>
    </row>
    <row r="23" spans="1:5" s="48" customFormat="1" ht="12" customHeight="1">
      <c r="A23" s="186" t="s">
        <v>191</v>
      </c>
      <c r="B23" s="155" t="s">
        <v>192</v>
      </c>
      <c r="C23" s="138"/>
      <c r="D23" s="138"/>
      <c r="E23" s="160"/>
    </row>
    <row r="24" spans="1:5" s="47" customFormat="1" ht="12" customHeight="1">
      <c r="A24" s="186" t="s">
        <v>193</v>
      </c>
      <c r="B24" s="155" t="s">
        <v>194</v>
      </c>
      <c r="C24" s="138">
        <v>16752547</v>
      </c>
      <c r="D24" s="138">
        <v>16752547</v>
      </c>
      <c r="E24" s="160">
        <v>16752547</v>
      </c>
    </row>
    <row r="25" spans="1:5" s="47" customFormat="1" ht="12" customHeight="1">
      <c r="A25" s="186" t="s">
        <v>195</v>
      </c>
      <c r="B25" s="155" t="s">
        <v>196</v>
      </c>
      <c r="C25" s="138"/>
      <c r="D25" s="138"/>
      <c r="E25" s="160"/>
    </row>
    <row r="26" spans="1:5" s="47" customFormat="1" ht="12" customHeight="1" thickBot="1">
      <c r="A26" s="186" t="s">
        <v>197</v>
      </c>
      <c r="B26" s="157" t="s">
        <v>150</v>
      </c>
      <c r="C26" s="138"/>
      <c r="D26" s="138"/>
      <c r="E26" s="160"/>
    </row>
    <row r="27" spans="1:5" s="47" customFormat="1" ht="12" customHeight="1" thickBot="1">
      <c r="A27" s="187" t="s">
        <v>13</v>
      </c>
      <c r="B27" s="64" t="s">
        <v>151</v>
      </c>
      <c r="C27" s="161"/>
      <c r="D27" s="161"/>
      <c r="E27" s="162"/>
    </row>
    <row r="28" spans="1:5" s="47" customFormat="1" ht="12" customHeight="1" thickBot="1">
      <c r="A28" s="187" t="s">
        <v>14</v>
      </c>
      <c r="B28" s="163" t="s">
        <v>206</v>
      </c>
      <c r="C28" s="139">
        <f>+C21+C27</f>
        <v>16752547</v>
      </c>
      <c r="D28" s="139">
        <f>+D21+D27</f>
        <v>16752547</v>
      </c>
      <c r="E28" s="159">
        <f>+E21+E27</f>
        <v>16752547</v>
      </c>
    </row>
    <row r="29" spans="1:5" s="47" customFormat="1" ht="12" customHeight="1" thickBot="1">
      <c r="A29" s="188" t="s">
        <v>15</v>
      </c>
      <c r="B29" s="164" t="s">
        <v>207</v>
      </c>
      <c r="C29" s="139">
        <f>+C20+C28</f>
        <v>217645297</v>
      </c>
      <c r="D29" s="139">
        <f>+D20+D28</f>
        <v>223317456</v>
      </c>
      <c r="E29" s="159">
        <f>+E20+E28</f>
        <v>223317456</v>
      </c>
    </row>
    <row r="30" spans="1:5" s="48" customFormat="1" ht="15" customHeight="1">
      <c r="A30" s="60"/>
      <c r="B30" s="61"/>
      <c r="C30" s="103"/>
      <c r="D30" s="103"/>
      <c r="E30" s="103"/>
    </row>
    <row r="31" spans="1:5" ht="13.5" thickBot="1">
      <c r="A31" s="62"/>
      <c r="B31" s="63"/>
      <c r="C31" s="104"/>
      <c r="D31" s="104"/>
      <c r="E31" s="104"/>
    </row>
    <row r="32" spans="1:5" s="43" customFormat="1" ht="16.5" customHeight="1" thickBot="1">
      <c r="A32" s="613" t="s">
        <v>40</v>
      </c>
      <c r="B32" s="614"/>
      <c r="C32" s="614"/>
      <c r="D32" s="614"/>
      <c r="E32" s="615"/>
    </row>
    <row r="33" spans="1:5" s="49" customFormat="1" ht="12" customHeight="1" thickBot="1">
      <c r="A33" s="189" t="s">
        <v>4</v>
      </c>
      <c r="B33" s="21" t="s">
        <v>222</v>
      </c>
      <c r="C33" s="133">
        <f>SUM(C34:C39)</f>
        <v>23902663</v>
      </c>
      <c r="D33" s="133">
        <f>SUM(D34:D39)</f>
        <v>45537840</v>
      </c>
      <c r="E33" s="198">
        <f>SUM(E34:E39)</f>
        <v>22037988</v>
      </c>
    </row>
    <row r="34" spans="1:5" ht="12" customHeight="1">
      <c r="A34" s="190" t="s">
        <v>53</v>
      </c>
      <c r="B34" s="7" t="s">
        <v>33</v>
      </c>
      <c r="C34" s="200"/>
      <c r="D34" s="200"/>
      <c r="E34" s="199"/>
    </row>
    <row r="35" spans="1:5" ht="12" customHeight="1">
      <c r="A35" s="186" t="s">
        <v>54</v>
      </c>
      <c r="B35" s="5" t="s">
        <v>92</v>
      </c>
      <c r="C35" s="135"/>
      <c r="D35" s="135"/>
      <c r="E35" s="156"/>
    </row>
    <row r="36" spans="1:5" ht="12" customHeight="1">
      <c r="A36" s="186" t="s">
        <v>55</v>
      </c>
      <c r="B36" s="5" t="s">
        <v>75</v>
      </c>
      <c r="C36" s="137">
        <v>219902</v>
      </c>
      <c r="D36" s="137">
        <v>128349</v>
      </c>
      <c r="E36" s="158">
        <v>128349</v>
      </c>
    </row>
    <row r="37" spans="1:5" ht="12" customHeight="1">
      <c r="A37" s="186" t="s">
        <v>56</v>
      </c>
      <c r="B37" s="8" t="s">
        <v>93</v>
      </c>
      <c r="C37" s="137"/>
      <c r="D37" s="137"/>
      <c r="E37" s="158"/>
    </row>
    <row r="38" spans="1:5" ht="12" customHeight="1">
      <c r="A38" s="186" t="s">
        <v>82</v>
      </c>
      <c r="B38" s="14" t="s">
        <v>94</v>
      </c>
      <c r="C38" s="137">
        <v>6930214</v>
      </c>
      <c r="D38" s="137">
        <v>21909639</v>
      </c>
      <c r="E38" s="158">
        <v>21909639</v>
      </c>
    </row>
    <row r="39" spans="1:5" ht="12" customHeight="1">
      <c r="A39" s="186" t="s">
        <v>57</v>
      </c>
      <c r="B39" s="5" t="s">
        <v>223</v>
      </c>
      <c r="C39" s="137">
        <v>16752547</v>
      </c>
      <c r="D39" s="137">
        <v>23499852</v>
      </c>
      <c r="E39" s="158"/>
    </row>
    <row r="40" spans="1:5" ht="12" customHeight="1">
      <c r="A40" s="186" t="s">
        <v>58</v>
      </c>
      <c r="B40" s="5" t="s">
        <v>224</v>
      </c>
      <c r="C40" s="137"/>
      <c r="D40" s="137"/>
      <c r="E40" s="158"/>
    </row>
    <row r="41" spans="1:5" ht="12" customHeight="1" thickBot="1">
      <c r="A41" s="186" t="s">
        <v>64</v>
      </c>
      <c r="B41" s="14" t="s">
        <v>225</v>
      </c>
      <c r="C41" s="137"/>
      <c r="D41" s="137"/>
      <c r="E41" s="158"/>
    </row>
    <row r="42" spans="1:5" ht="12" customHeight="1" thickBot="1">
      <c r="A42" s="22" t="s">
        <v>5</v>
      </c>
      <c r="B42" s="20" t="s">
        <v>200</v>
      </c>
      <c r="C42" s="134">
        <f>+C43+C44+C45</f>
        <v>0</v>
      </c>
      <c r="D42" s="134">
        <f>+D43+D44+D45</f>
        <v>0</v>
      </c>
      <c r="E42" s="152">
        <f>+E43+E44+E45</f>
        <v>0</v>
      </c>
    </row>
    <row r="43" spans="1:5" ht="12" customHeight="1">
      <c r="A43" s="185" t="s">
        <v>59</v>
      </c>
      <c r="B43" s="5" t="s">
        <v>105</v>
      </c>
      <c r="C43" s="136"/>
      <c r="D43" s="136"/>
      <c r="E43" s="154"/>
    </row>
    <row r="44" spans="1:5" ht="12" customHeight="1">
      <c r="A44" s="185" t="s">
        <v>60</v>
      </c>
      <c r="B44" s="9" t="s">
        <v>95</v>
      </c>
      <c r="C44" s="135"/>
      <c r="D44" s="135"/>
      <c r="E44" s="156"/>
    </row>
    <row r="45" spans="1:5" ht="12" customHeight="1" thickBot="1">
      <c r="A45" s="185" t="s">
        <v>61</v>
      </c>
      <c r="B45" s="66" t="s">
        <v>106</v>
      </c>
      <c r="C45" s="135"/>
      <c r="D45" s="135"/>
      <c r="E45" s="156"/>
    </row>
    <row r="46" spans="1:5" ht="12" customHeight="1" thickBot="1">
      <c r="A46" s="22" t="s">
        <v>6</v>
      </c>
      <c r="B46" s="52" t="s">
        <v>226</v>
      </c>
      <c r="C46" s="134">
        <f>+C33+C42</f>
        <v>23902663</v>
      </c>
      <c r="D46" s="134">
        <f>+D33+D42</f>
        <v>45537840</v>
      </c>
      <c r="E46" s="152">
        <f>+E33+E42</f>
        <v>22037988</v>
      </c>
    </row>
    <row r="47" spans="1:5" ht="12" customHeight="1" thickBot="1">
      <c r="A47" s="22" t="s">
        <v>7</v>
      </c>
      <c r="B47" s="52" t="s">
        <v>235</v>
      </c>
      <c r="C47" s="134">
        <f>+C48+C49+C50</f>
        <v>193742634</v>
      </c>
      <c r="D47" s="134">
        <f>+D48+D49+D50</f>
        <v>177779616</v>
      </c>
      <c r="E47" s="152">
        <f>+E48+E49+E50</f>
        <v>177779616</v>
      </c>
    </row>
    <row r="48" spans="1:5" ht="12" customHeight="1">
      <c r="A48" s="190" t="s">
        <v>136</v>
      </c>
      <c r="B48" s="7" t="s">
        <v>201</v>
      </c>
      <c r="C48" s="200"/>
      <c r="D48" s="200"/>
      <c r="E48" s="199"/>
    </row>
    <row r="49" spans="1:5" ht="12" customHeight="1">
      <c r="A49" s="186" t="s">
        <v>137</v>
      </c>
      <c r="B49" s="5" t="s">
        <v>202</v>
      </c>
      <c r="C49" s="137"/>
      <c r="D49" s="137"/>
      <c r="E49" s="158"/>
    </row>
    <row r="50" spans="1:5" ht="13.5" thickBot="1">
      <c r="A50" s="191" t="s">
        <v>138</v>
      </c>
      <c r="B50" s="4" t="s">
        <v>236</v>
      </c>
      <c r="C50" s="137">
        <v>193742634</v>
      </c>
      <c r="D50" s="245">
        <v>177779616</v>
      </c>
      <c r="E50" s="158">
        <v>177779616</v>
      </c>
    </row>
    <row r="51" spans="1:5" ht="13.5" thickBot="1">
      <c r="A51" s="22" t="s">
        <v>8</v>
      </c>
      <c r="B51" s="192" t="s">
        <v>231</v>
      </c>
      <c r="C51" s="134">
        <f>+C46+C47</f>
        <v>217645297</v>
      </c>
      <c r="D51" s="246">
        <f>+D46+D47</f>
        <v>223317456</v>
      </c>
      <c r="E51" s="67">
        <f>+E46+E47</f>
        <v>199817604</v>
      </c>
    </row>
    <row r="52" spans="3:4" ht="26.25" customHeight="1" thickBot="1">
      <c r="C52" s="473">
        <f>C29-C51</f>
        <v>0</v>
      </c>
      <c r="D52" s="473">
        <f>D29-D51</f>
        <v>0</v>
      </c>
    </row>
    <row r="53" spans="1:5" ht="12.75" customHeight="1" thickBot="1">
      <c r="A53" s="407" t="s">
        <v>331</v>
      </c>
      <c r="B53" s="408"/>
      <c r="C53" s="469"/>
      <c r="D53" s="469"/>
      <c r="E53" s="470"/>
    </row>
    <row r="54" spans="1:5" ht="13.5" customHeight="1" thickBot="1">
      <c r="A54" s="409" t="s">
        <v>332</v>
      </c>
      <c r="B54" s="410"/>
      <c r="C54" s="471"/>
      <c r="D54" s="471"/>
      <c r="E54" s="472"/>
    </row>
  </sheetData>
  <sheetProtection formatCells="0"/>
  <mergeCells count="5">
    <mergeCell ref="A7:E7"/>
    <mergeCell ref="A32:E32"/>
    <mergeCell ref="B2:D2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zoomScale="120" zoomScaleNormal="120" workbookViewId="0" topLeftCell="A1">
      <selection activeCell="B63" sqref="B63"/>
    </sheetView>
  </sheetViews>
  <sheetFormatPr defaultColWidth="9.00390625" defaultRowHeight="12.75"/>
  <cols>
    <col min="1" max="1" width="14.875" style="107" customWidth="1"/>
    <col min="2" max="2" width="62.875" style="108" customWidth="1"/>
    <col min="3" max="5" width="15.875" style="109" customWidth="1"/>
    <col min="6" max="16384" width="9.375" style="3" customWidth="1"/>
  </cols>
  <sheetData>
    <row r="1" spans="1:5" s="2" customFormat="1" ht="16.5" customHeight="1" thickBot="1">
      <c r="A1" s="458"/>
      <c r="B1" s="622" t="str">
        <f>CONCATENATE("6. melléklet"," ",ALAPADATOK!A7," ",ALAPADATOK!B7," ",ALAPADATOK!C7," ",ALAPADATOK!D7," ",ALAPADATOK!E7," ",ALAPADATOK!F7," ",ALAPADATOK!G7," ",ALAPADATOK!H7)</f>
        <v>6. melléklet a … / 2024. ( … ) önkormányzati határozathoz</v>
      </c>
      <c r="C1" s="623"/>
      <c r="D1" s="623"/>
      <c r="E1" s="623"/>
    </row>
    <row r="2" spans="1:5" s="45" customFormat="1" ht="15.75" customHeight="1">
      <c r="A2" s="459" t="s">
        <v>42</v>
      </c>
      <c r="B2" s="624" t="str">
        <f>ALAPADATOK!B11</f>
        <v>Gondozási Központ Bátaszék</v>
      </c>
      <c r="C2" s="625"/>
      <c r="D2" s="626"/>
      <c r="E2" s="474" t="s">
        <v>41</v>
      </c>
    </row>
    <row r="3" spans="1:5" s="45" customFormat="1" ht="24.75" thickBot="1">
      <c r="A3" s="461" t="s">
        <v>101</v>
      </c>
      <c r="B3" s="619" t="s">
        <v>237</v>
      </c>
      <c r="C3" s="620"/>
      <c r="D3" s="627"/>
      <c r="E3" s="475" t="s">
        <v>238</v>
      </c>
    </row>
    <row r="4" spans="1:5" s="46" customFormat="1" ht="15.75" customHeight="1" thickBot="1">
      <c r="A4" s="463"/>
      <c r="B4" s="463"/>
      <c r="C4" s="464"/>
      <c r="D4" s="464"/>
      <c r="E4" s="464" t="str">
        <f>'5. sz. mell'!E4</f>
        <v>Forintban!</v>
      </c>
    </row>
    <row r="5" spans="1:5" ht="24.75" thickBot="1">
      <c r="A5" s="465" t="s">
        <v>102</v>
      </c>
      <c r="B5" s="466" t="s">
        <v>330</v>
      </c>
      <c r="C5" s="467" t="s">
        <v>123</v>
      </c>
      <c r="D5" s="467" t="s">
        <v>130</v>
      </c>
      <c r="E5" s="468" t="s">
        <v>131</v>
      </c>
    </row>
    <row r="6" spans="1:5" s="43" customFormat="1" ht="12.75" customHeight="1" thickBot="1">
      <c r="A6" s="58">
        <v>1</v>
      </c>
      <c r="B6" s="59">
        <v>2</v>
      </c>
      <c r="C6" s="59">
        <v>3</v>
      </c>
      <c r="D6" s="146">
        <v>4</v>
      </c>
      <c r="E6" s="145">
        <v>5</v>
      </c>
    </row>
    <row r="7" spans="1:5" s="43" customFormat="1" ht="15.75" customHeight="1" thickBot="1">
      <c r="A7" s="613" t="s">
        <v>39</v>
      </c>
      <c r="B7" s="614"/>
      <c r="C7" s="614"/>
      <c r="D7" s="614"/>
      <c r="E7" s="615"/>
    </row>
    <row r="8" spans="1:5" s="43" customFormat="1" ht="12" customHeight="1" thickBot="1">
      <c r="A8" s="58" t="s">
        <v>4</v>
      </c>
      <c r="B8" s="227" t="s">
        <v>208</v>
      </c>
      <c r="C8" s="73">
        <f>SUM(C9:C18)</f>
        <v>34823000</v>
      </c>
      <c r="D8" s="73">
        <f>SUM(D9:D18)</f>
        <v>39310036</v>
      </c>
      <c r="E8" s="176">
        <f>SUM(E9:E18)</f>
        <v>35626075</v>
      </c>
    </row>
    <row r="9" spans="1:5" s="47" customFormat="1" ht="12" customHeight="1">
      <c r="A9" s="228" t="s">
        <v>53</v>
      </c>
      <c r="B9" s="7" t="s">
        <v>139</v>
      </c>
      <c r="C9" s="143"/>
      <c r="D9" s="143"/>
      <c r="E9" s="238"/>
    </row>
    <row r="10" spans="1:5" s="48" customFormat="1" ht="12" customHeight="1">
      <c r="A10" s="229" t="s">
        <v>54</v>
      </c>
      <c r="B10" s="5" t="s">
        <v>140</v>
      </c>
      <c r="C10" s="70">
        <v>600000</v>
      </c>
      <c r="D10" s="70">
        <v>837140</v>
      </c>
      <c r="E10" s="147">
        <v>831780</v>
      </c>
    </row>
    <row r="11" spans="1:5" s="48" customFormat="1" ht="12" customHeight="1">
      <c r="A11" s="229" t="s">
        <v>55</v>
      </c>
      <c r="B11" s="5" t="s">
        <v>141</v>
      </c>
      <c r="C11" s="70">
        <v>62000</v>
      </c>
      <c r="D11" s="70">
        <v>130228</v>
      </c>
      <c r="E11" s="147">
        <v>126444</v>
      </c>
    </row>
    <row r="12" spans="1:5" s="48" customFormat="1" ht="12" customHeight="1">
      <c r="A12" s="229" t="s">
        <v>56</v>
      </c>
      <c r="B12" s="5" t="s">
        <v>142</v>
      </c>
      <c r="C12" s="70"/>
      <c r="D12" s="70"/>
      <c r="E12" s="147"/>
    </row>
    <row r="13" spans="1:5" s="48" customFormat="1" ht="12" customHeight="1">
      <c r="A13" s="229" t="s">
        <v>82</v>
      </c>
      <c r="B13" s="5" t="s">
        <v>143</v>
      </c>
      <c r="C13" s="70">
        <v>21900000</v>
      </c>
      <c r="D13" s="70">
        <v>21767412</v>
      </c>
      <c r="E13" s="147">
        <v>18543906</v>
      </c>
    </row>
    <row r="14" spans="1:5" s="47" customFormat="1" ht="12" customHeight="1">
      <c r="A14" s="229" t="s">
        <v>57</v>
      </c>
      <c r="B14" s="5" t="s">
        <v>209</v>
      </c>
      <c r="C14" s="70">
        <v>5257000</v>
      </c>
      <c r="D14" s="70">
        <v>5404021</v>
      </c>
      <c r="E14" s="147">
        <v>4965481</v>
      </c>
    </row>
    <row r="15" spans="1:5" s="47" customFormat="1" ht="12" customHeight="1">
      <c r="A15" s="229" t="s">
        <v>58</v>
      </c>
      <c r="B15" s="4" t="s">
        <v>210</v>
      </c>
      <c r="C15" s="70">
        <v>7000000</v>
      </c>
      <c r="D15" s="70">
        <v>9365473</v>
      </c>
      <c r="E15" s="147">
        <v>9365473</v>
      </c>
    </row>
    <row r="16" spans="1:5" s="47" customFormat="1" ht="12" customHeight="1">
      <c r="A16" s="229" t="s">
        <v>64</v>
      </c>
      <c r="B16" s="5" t="s">
        <v>144</v>
      </c>
      <c r="C16" s="144"/>
      <c r="D16" s="144"/>
      <c r="E16" s="183"/>
    </row>
    <row r="17" spans="1:5" s="47" customFormat="1" ht="12" customHeight="1">
      <c r="A17" s="229" t="s">
        <v>65</v>
      </c>
      <c r="B17" s="5" t="s">
        <v>145</v>
      </c>
      <c r="C17" s="70"/>
      <c r="D17" s="70"/>
      <c r="E17" s="147"/>
    </row>
    <row r="18" spans="1:5" s="47" customFormat="1" ht="12" customHeight="1" thickBot="1">
      <c r="A18" s="229" t="s">
        <v>66</v>
      </c>
      <c r="B18" s="4" t="s">
        <v>146</v>
      </c>
      <c r="C18" s="72">
        <v>4000</v>
      </c>
      <c r="D18" s="72">
        <v>1805762</v>
      </c>
      <c r="E18" s="177">
        <v>1792991</v>
      </c>
    </row>
    <row r="19" spans="1:5" s="47" customFormat="1" ht="12" customHeight="1" thickBot="1">
      <c r="A19" s="58" t="s">
        <v>5</v>
      </c>
      <c r="B19" s="227" t="s">
        <v>211</v>
      </c>
      <c r="C19" s="73">
        <f>C20+C21+C22+C23</f>
        <v>41262800</v>
      </c>
      <c r="D19" s="73">
        <f>D20+D21+D22+D23</f>
        <v>42672098</v>
      </c>
      <c r="E19" s="73">
        <f>E20+E21+E22+E23</f>
        <v>41749800</v>
      </c>
    </row>
    <row r="20" spans="1:5" s="47" customFormat="1" ht="12" customHeight="1">
      <c r="A20" s="229" t="s">
        <v>59</v>
      </c>
      <c r="B20" s="6" t="s">
        <v>135</v>
      </c>
      <c r="C20" s="70"/>
      <c r="D20" s="70"/>
      <c r="E20" s="147"/>
    </row>
    <row r="21" spans="1:5" s="48" customFormat="1" ht="12" customHeight="1">
      <c r="A21" s="229" t="s">
        <v>60</v>
      </c>
      <c r="B21" s="5" t="s">
        <v>212</v>
      </c>
      <c r="C21" s="70"/>
      <c r="D21" s="70"/>
      <c r="E21" s="147"/>
    </row>
    <row r="22" spans="1:5" s="48" customFormat="1" ht="12" customHeight="1">
      <c r="A22" s="229" t="s">
        <v>61</v>
      </c>
      <c r="B22" s="5" t="s">
        <v>213</v>
      </c>
      <c r="C22" s="70">
        <v>41262800</v>
      </c>
      <c r="D22" s="70">
        <v>42672098</v>
      </c>
      <c r="E22" s="147">
        <v>41749800</v>
      </c>
    </row>
    <row r="23" spans="1:5" s="48" customFormat="1" ht="12" customHeight="1" thickBot="1">
      <c r="A23" s="229" t="s">
        <v>62</v>
      </c>
      <c r="B23" s="5" t="s">
        <v>214</v>
      </c>
      <c r="C23" s="70"/>
      <c r="D23" s="70"/>
      <c r="E23" s="147"/>
    </row>
    <row r="24" spans="1:5" s="47" customFormat="1" ht="12" customHeight="1" thickBot="1">
      <c r="A24" s="230" t="s">
        <v>6</v>
      </c>
      <c r="B24" s="52" t="s">
        <v>90</v>
      </c>
      <c r="C24" s="240"/>
      <c r="D24" s="240"/>
      <c r="E24" s="236"/>
    </row>
    <row r="25" spans="1:5" s="47" customFormat="1" ht="12" customHeight="1" thickBot="1">
      <c r="A25" s="230" t="s">
        <v>7</v>
      </c>
      <c r="B25" s="52" t="s">
        <v>215</v>
      </c>
      <c r="C25" s="73">
        <f>+C26+C27</f>
        <v>0</v>
      </c>
      <c r="D25" s="73">
        <f>+D26+D27</f>
        <v>0</v>
      </c>
      <c r="E25" s="176">
        <f>+E26+E27</f>
        <v>0</v>
      </c>
    </row>
    <row r="26" spans="1:5" s="47" customFormat="1" ht="12" customHeight="1">
      <c r="A26" s="231" t="s">
        <v>136</v>
      </c>
      <c r="B26" s="232" t="s">
        <v>212</v>
      </c>
      <c r="C26" s="140"/>
      <c r="D26" s="140"/>
      <c r="E26" s="184"/>
    </row>
    <row r="27" spans="1:5" s="47" customFormat="1" ht="12" customHeight="1">
      <c r="A27" s="231" t="s">
        <v>137</v>
      </c>
      <c r="B27" s="233" t="s">
        <v>216</v>
      </c>
      <c r="C27" s="74"/>
      <c r="D27" s="74"/>
      <c r="E27" s="178"/>
    </row>
    <row r="28" spans="1:5" s="47" customFormat="1" ht="12" customHeight="1" thickBot="1">
      <c r="A28" s="229" t="s">
        <v>138</v>
      </c>
      <c r="B28" s="234" t="s">
        <v>217</v>
      </c>
      <c r="C28" s="241"/>
      <c r="D28" s="241"/>
      <c r="E28" s="239"/>
    </row>
    <row r="29" spans="1:5" s="47" customFormat="1" ht="12" customHeight="1" thickBot="1">
      <c r="A29" s="230" t="s">
        <v>8</v>
      </c>
      <c r="B29" s="52" t="s">
        <v>218</v>
      </c>
      <c r="C29" s="73">
        <f>+C30+C31+C32</f>
        <v>0</v>
      </c>
      <c r="D29" s="73">
        <f>+D30+D31+D32</f>
        <v>0</v>
      </c>
      <c r="E29" s="176">
        <f>+E30+E31+E32</f>
        <v>0</v>
      </c>
    </row>
    <row r="30" spans="1:5" s="47" customFormat="1" ht="12" customHeight="1">
      <c r="A30" s="231" t="s">
        <v>50</v>
      </c>
      <c r="B30" s="232" t="s">
        <v>147</v>
      </c>
      <c r="C30" s="140"/>
      <c r="D30" s="140"/>
      <c r="E30" s="184"/>
    </row>
    <row r="31" spans="1:5" s="47" customFormat="1" ht="12" customHeight="1">
      <c r="A31" s="231" t="s">
        <v>51</v>
      </c>
      <c r="B31" s="233" t="s">
        <v>148</v>
      </c>
      <c r="C31" s="74"/>
      <c r="D31" s="74"/>
      <c r="E31" s="178"/>
    </row>
    <row r="32" spans="1:5" s="47" customFormat="1" ht="12" customHeight="1" thickBot="1">
      <c r="A32" s="229" t="s">
        <v>52</v>
      </c>
      <c r="B32" s="235" t="s">
        <v>149</v>
      </c>
      <c r="C32" s="241"/>
      <c r="D32" s="241"/>
      <c r="E32" s="239"/>
    </row>
    <row r="33" spans="1:5" s="47" customFormat="1" ht="12" customHeight="1" thickBot="1">
      <c r="A33" s="230" t="s">
        <v>9</v>
      </c>
      <c r="B33" s="52" t="s">
        <v>153</v>
      </c>
      <c r="C33" s="240"/>
      <c r="D33" s="240"/>
      <c r="E33" s="236"/>
    </row>
    <row r="34" spans="1:5" s="47" customFormat="1" ht="12" customHeight="1" thickBot="1">
      <c r="A34" s="230" t="s">
        <v>10</v>
      </c>
      <c r="B34" s="52" t="s">
        <v>186</v>
      </c>
      <c r="C34" s="240"/>
      <c r="D34" s="240"/>
      <c r="E34" s="236"/>
    </row>
    <row r="35" spans="1:5" s="510" customFormat="1" ht="12" customHeight="1" thickBot="1">
      <c r="A35" s="226" t="s">
        <v>11</v>
      </c>
      <c r="B35" s="52" t="s">
        <v>361</v>
      </c>
      <c r="C35" s="73">
        <f>+C36+C37+C38</f>
        <v>194995069</v>
      </c>
      <c r="D35" s="73">
        <f>+D36+D37+D38</f>
        <v>179032050</v>
      </c>
      <c r="E35" s="176">
        <f>+E36+E37+E38</f>
        <v>179032050</v>
      </c>
    </row>
    <row r="36" spans="1:5" s="510" customFormat="1" ht="12" customHeight="1">
      <c r="A36" s="231" t="s">
        <v>364</v>
      </c>
      <c r="B36" s="232" t="s">
        <v>111</v>
      </c>
      <c r="C36" s="140">
        <v>1252435</v>
      </c>
      <c r="D36" s="140">
        <v>1252434</v>
      </c>
      <c r="E36" s="184">
        <v>1252434</v>
      </c>
    </row>
    <row r="37" spans="1:5" s="511" customFormat="1" ht="12" customHeight="1">
      <c r="A37" s="231" t="s">
        <v>365</v>
      </c>
      <c r="B37" s="233" t="s">
        <v>362</v>
      </c>
      <c r="C37" s="74"/>
      <c r="D37" s="74"/>
      <c r="E37" s="178"/>
    </row>
    <row r="38" spans="1:5" s="511" customFormat="1" ht="12" customHeight="1" thickBot="1">
      <c r="A38" s="229" t="s">
        <v>366</v>
      </c>
      <c r="B38" s="235" t="s">
        <v>363</v>
      </c>
      <c r="C38" s="241">
        <v>193742634</v>
      </c>
      <c r="D38" s="241">
        <v>177779616</v>
      </c>
      <c r="E38" s="239">
        <v>177779616</v>
      </c>
    </row>
    <row r="39" spans="1:5" s="47" customFormat="1" ht="12" customHeight="1" thickBot="1">
      <c r="A39" s="226" t="s">
        <v>12</v>
      </c>
      <c r="B39" s="249" t="s">
        <v>239</v>
      </c>
      <c r="C39" s="242">
        <f>+C8+C19+C24+C25+C29+C33+C34+C35</f>
        <v>271080869</v>
      </c>
      <c r="D39" s="242">
        <f>+D8+D19+D24+D25+D29+D33+D34+D35</f>
        <v>261014184</v>
      </c>
      <c r="E39" s="250">
        <f>+E8+E19+E24+E25+E29+E33+E34+E35</f>
        <v>256407925</v>
      </c>
    </row>
    <row r="40" spans="1:5" s="48" customFormat="1" ht="15" customHeight="1">
      <c r="A40" s="60"/>
      <c r="B40" s="61"/>
      <c r="C40" s="103"/>
      <c r="D40" s="103"/>
      <c r="E40" s="103"/>
    </row>
    <row r="41" spans="1:5" ht="13.5" thickBot="1">
      <c r="A41" s="62"/>
      <c r="B41" s="63"/>
      <c r="C41" s="104"/>
      <c r="D41" s="104"/>
      <c r="E41" s="104"/>
    </row>
    <row r="42" spans="1:5" s="43" customFormat="1" ht="16.5" customHeight="1" thickBot="1">
      <c r="A42" s="613" t="s">
        <v>40</v>
      </c>
      <c r="B42" s="614"/>
      <c r="C42" s="614"/>
      <c r="D42" s="614"/>
      <c r="E42" s="615"/>
    </row>
    <row r="43" spans="1:5" s="49" customFormat="1" ht="12" customHeight="1" thickBot="1">
      <c r="A43" s="230" t="s">
        <v>4</v>
      </c>
      <c r="B43" s="52" t="s">
        <v>240</v>
      </c>
      <c r="C43" s="73">
        <f>SUM(C44:C49)</f>
        <v>270864969</v>
      </c>
      <c r="D43" s="73">
        <f>SUM(D44:D49)</f>
        <v>261014184</v>
      </c>
      <c r="E43" s="176">
        <f>SUM(E44:E49)</f>
        <v>250966879</v>
      </c>
    </row>
    <row r="44" spans="1:5" ht="12" customHeight="1">
      <c r="A44" s="229" t="s">
        <v>53</v>
      </c>
      <c r="B44" s="6" t="s">
        <v>33</v>
      </c>
      <c r="C44" s="140">
        <v>116275450</v>
      </c>
      <c r="D44" s="140">
        <v>130454556</v>
      </c>
      <c r="E44" s="184">
        <v>129387964</v>
      </c>
    </row>
    <row r="45" spans="1:5" ht="12" customHeight="1">
      <c r="A45" s="229" t="s">
        <v>54</v>
      </c>
      <c r="B45" s="5" t="s">
        <v>92</v>
      </c>
      <c r="C45" s="44">
        <v>15118800</v>
      </c>
      <c r="D45" s="44">
        <v>16893454</v>
      </c>
      <c r="E45" s="179">
        <v>16229186</v>
      </c>
    </row>
    <row r="46" spans="1:5" ht="12" customHeight="1">
      <c r="A46" s="229" t="s">
        <v>55</v>
      </c>
      <c r="B46" s="5" t="s">
        <v>75</v>
      </c>
      <c r="C46" s="44">
        <v>138218284</v>
      </c>
      <c r="D46" s="44">
        <v>113257997</v>
      </c>
      <c r="E46" s="179">
        <v>105349729</v>
      </c>
    </row>
    <row r="47" spans="1:5" ht="12" customHeight="1">
      <c r="A47" s="229" t="s">
        <v>56</v>
      </c>
      <c r="B47" s="5" t="s">
        <v>93</v>
      </c>
      <c r="C47" s="44"/>
      <c r="D47" s="44"/>
      <c r="E47" s="179"/>
    </row>
    <row r="48" spans="1:5" ht="12" customHeight="1">
      <c r="A48" s="229" t="s">
        <v>82</v>
      </c>
      <c r="B48" s="5" t="s">
        <v>94</v>
      </c>
      <c r="C48" s="44">
        <v>1252435</v>
      </c>
      <c r="D48" s="44">
        <v>408177</v>
      </c>
      <c r="E48" s="179"/>
    </row>
    <row r="49" spans="1:5" ht="12" customHeight="1" thickBot="1">
      <c r="A49" s="229" t="s">
        <v>57</v>
      </c>
      <c r="B49" s="5" t="s">
        <v>34</v>
      </c>
      <c r="C49" s="44"/>
      <c r="D49" s="44"/>
      <c r="E49" s="179"/>
    </row>
    <row r="50" spans="1:5" ht="12" customHeight="1" thickBot="1">
      <c r="A50" s="230" t="s">
        <v>5</v>
      </c>
      <c r="B50" s="52" t="s">
        <v>219</v>
      </c>
      <c r="C50" s="73">
        <f>SUM(C51:C53)</f>
        <v>215900</v>
      </c>
      <c r="D50" s="73">
        <f>SUM(D51:D53)</f>
        <v>0</v>
      </c>
      <c r="E50" s="176">
        <f>SUM(E51:E53)</f>
        <v>0</v>
      </c>
    </row>
    <row r="51" spans="1:5" ht="12" customHeight="1">
      <c r="A51" s="229" t="s">
        <v>59</v>
      </c>
      <c r="B51" s="6" t="s">
        <v>105</v>
      </c>
      <c r="C51" s="140">
        <v>215900</v>
      </c>
      <c r="D51" s="140"/>
      <c r="E51" s="184"/>
    </row>
    <row r="52" spans="1:5" ht="12" customHeight="1">
      <c r="A52" s="229" t="s">
        <v>60</v>
      </c>
      <c r="B52" s="5" t="s">
        <v>95</v>
      </c>
      <c r="C52" s="44"/>
      <c r="D52" s="44"/>
      <c r="E52" s="179"/>
    </row>
    <row r="53" spans="1:5" ht="12" customHeight="1">
      <c r="A53" s="229" t="s">
        <v>61</v>
      </c>
      <c r="B53" s="5" t="s">
        <v>220</v>
      </c>
      <c r="C53" s="44"/>
      <c r="D53" s="44"/>
      <c r="E53" s="179"/>
    </row>
    <row r="54" spans="1:5" ht="12" customHeight="1" thickBot="1">
      <c r="A54" s="229" t="s">
        <v>62</v>
      </c>
      <c r="B54" s="5" t="s">
        <v>241</v>
      </c>
      <c r="C54" s="44"/>
      <c r="D54" s="44"/>
      <c r="E54" s="179"/>
    </row>
    <row r="55" spans="1:5" ht="12" customHeight="1" thickBot="1">
      <c r="A55" s="230" t="s">
        <v>6</v>
      </c>
      <c r="B55" s="243" t="s">
        <v>221</v>
      </c>
      <c r="C55" s="242">
        <f>+C43+C50</f>
        <v>271080869</v>
      </c>
      <c r="D55" s="242">
        <f>+D43+D50</f>
        <v>261014184</v>
      </c>
      <c r="E55" s="237">
        <f>+E43+E50</f>
        <v>250966879</v>
      </c>
    </row>
    <row r="56" spans="3:4" ht="13.5" thickBot="1">
      <c r="C56" s="473">
        <f>C39-C55</f>
        <v>0</v>
      </c>
      <c r="D56" s="473">
        <f>D39-D55</f>
        <v>0</v>
      </c>
    </row>
    <row r="57" spans="1:5" ht="12.75" customHeight="1" thickBot="1">
      <c r="A57" s="407" t="s">
        <v>331</v>
      </c>
      <c r="B57" s="408"/>
      <c r="C57" s="469">
        <v>24.5</v>
      </c>
      <c r="D57" s="469">
        <v>20</v>
      </c>
      <c r="E57" s="470">
        <v>20</v>
      </c>
    </row>
    <row r="58" spans="1:5" ht="13.5" customHeight="1" thickBot="1">
      <c r="A58" s="409" t="s">
        <v>332</v>
      </c>
      <c r="B58" s="410"/>
      <c r="C58" s="471"/>
      <c r="D58" s="471"/>
      <c r="E58" s="472"/>
    </row>
  </sheetData>
  <sheetProtection formatCells="0"/>
  <mergeCells count="5">
    <mergeCell ref="B2:D2"/>
    <mergeCell ref="B3:D3"/>
    <mergeCell ref="A7:E7"/>
    <mergeCell ref="A42:E42"/>
    <mergeCell ref="B1:E1"/>
  </mergeCells>
  <printOptions horizontalCentered="1"/>
  <pageMargins left="0.5905511811023623" right="0.5905511811023623" top="0.984251968503937" bottom="0.984251968503937" header="0.5905511811023623" footer="0.590551181102362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7.00390625" style="248" customWidth="1"/>
    <col min="2" max="2" width="32.00390625" style="251" customWidth="1"/>
    <col min="3" max="3" width="12.50390625" style="251" customWidth="1"/>
    <col min="4" max="6" width="11.875" style="251" customWidth="1"/>
    <col min="7" max="7" width="12.875" style="251" customWidth="1"/>
    <col min="8" max="16384" width="9.375" style="251" customWidth="1"/>
  </cols>
  <sheetData>
    <row r="1" spans="1:7" ht="15.75" customHeight="1">
      <c r="A1" s="630" t="str">
        <f>CONCATENATE("7. melléklet"," ",ALAPADATOK!A7," ",ALAPADATOK!B7," ",ALAPADATOK!C7," ",ALAPADATOK!D7," ",ALAPADATOK!E7," ",ALAPADATOK!F7," ",ALAPADATOK!G7," ",ALAPADATOK!H7)</f>
        <v>7. melléklet a … / 2024. ( … ) önkormányzati határozathoz</v>
      </c>
      <c r="B1" s="631"/>
      <c r="C1" s="631"/>
      <c r="D1" s="631"/>
      <c r="E1" s="631"/>
      <c r="F1" s="631"/>
      <c r="G1" s="631"/>
    </row>
    <row r="3" spans="1:7" ht="15.75">
      <c r="A3" s="632" t="s">
        <v>340</v>
      </c>
      <c r="B3" s="633"/>
      <c r="C3" s="633"/>
      <c r="D3" s="633"/>
      <c r="E3" s="633"/>
      <c r="F3" s="633"/>
      <c r="G3" s="633"/>
    </row>
    <row r="5" ht="14.25" thickBot="1">
      <c r="G5" s="77" t="str">
        <f>'6. sz. mell'!E4</f>
        <v>Forintban!</v>
      </c>
    </row>
    <row r="6" spans="1:7" ht="17.25" customHeight="1" thickBot="1">
      <c r="A6" s="634" t="s">
        <v>2</v>
      </c>
      <c r="B6" s="636" t="s">
        <v>242</v>
      </c>
      <c r="C6" s="636" t="s">
        <v>243</v>
      </c>
      <c r="D6" s="636" t="s">
        <v>244</v>
      </c>
      <c r="E6" s="638" t="s">
        <v>245</v>
      </c>
      <c r="F6" s="638"/>
      <c r="G6" s="639"/>
    </row>
    <row r="7" spans="1:7" s="254" customFormat="1" ht="57.75" customHeight="1" thickBot="1">
      <c r="A7" s="635"/>
      <c r="B7" s="637"/>
      <c r="C7" s="637"/>
      <c r="D7" s="637"/>
      <c r="E7" s="252" t="s">
        <v>246</v>
      </c>
      <c r="F7" s="252" t="s">
        <v>247</v>
      </c>
      <c r="G7" s="253" t="s">
        <v>248</v>
      </c>
    </row>
    <row r="8" spans="1:7" s="256" customFormat="1" ht="15" customHeight="1" thickBot="1">
      <c r="A8" s="58" t="s">
        <v>249</v>
      </c>
      <c r="B8" s="59" t="s">
        <v>250</v>
      </c>
      <c r="C8" s="59" t="s">
        <v>251</v>
      </c>
      <c r="D8" s="59" t="s">
        <v>252</v>
      </c>
      <c r="E8" s="59" t="s">
        <v>253</v>
      </c>
      <c r="F8" s="59" t="s">
        <v>254</v>
      </c>
      <c r="G8" s="255" t="s">
        <v>255</v>
      </c>
    </row>
    <row r="9" spans="1:7" ht="15" customHeight="1">
      <c r="A9" s="257" t="s">
        <v>4</v>
      </c>
      <c r="B9" s="258" t="s">
        <v>367</v>
      </c>
      <c r="C9" s="259">
        <v>5441046</v>
      </c>
      <c r="D9" s="259"/>
      <c r="E9" s="260">
        <v>5441046</v>
      </c>
      <c r="F9" s="259">
        <v>5441046</v>
      </c>
      <c r="G9" s="261"/>
    </row>
    <row r="10" spans="1:7" ht="15" customHeight="1">
      <c r="A10" s="262" t="s">
        <v>5</v>
      </c>
      <c r="B10" s="263" t="s">
        <v>368</v>
      </c>
      <c r="C10" s="18">
        <v>23499852</v>
      </c>
      <c r="D10" s="18"/>
      <c r="E10" s="260">
        <f>C10-D10</f>
        <v>23499852</v>
      </c>
      <c r="F10" s="18">
        <v>23499852</v>
      </c>
      <c r="G10" s="264"/>
    </row>
    <row r="11" spans="1:7" ht="15" customHeight="1" thickBot="1">
      <c r="A11" s="262" t="s">
        <v>6</v>
      </c>
      <c r="B11" s="263"/>
      <c r="C11" s="18"/>
      <c r="D11" s="18"/>
      <c r="E11" s="260">
        <f>C11-D11</f>
        <v>0</v>
      </c>
      <c r="F11" s="18"/>
      <c r="G11" s="264"/>
    </row>
    <row r="12" spans="1:7" ht="15" customHeight="1" thickBot="1">
      <c r="A12" s="628" t="s">
        <v>36</v>
      </c>
      <c r="B12" s="629"/>
      <c r="C12" s="39">
        <f>SUM(C9:C11)</f>
        <v>28940898</v>
      </c>
      <c r="D12" s="39">
        <f>SUM(D9:D11)</f>
        <v>0</v>
      </c>
      <c r="E12" s="39">
        <f>SUM(E9:E11)</f>
        <v>28940898</v>
      </c>
      <c r="F12" s="39">
        <f>SUM(F9:F11)</f>
        <v>28940898</v>
      </c>
      <c r="G12" s="266">
        <f>SUM(G9:G11)</f>
        <v>0</v>
      </c>
    </row>
  </sheetData>
  <sheetProtection/>
  <mergeCells count="8">
    <mergeCell ref="A12:B12"/>
    <mergeCell ref="A1:G1"/>
    <mergeCell ref="A3:G3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Pénzügy8</cp:lastModifiedBy>
  <cp:lastPrinted>2024-04-26T09:44:35Z</cp:lastPrinted>
  <dcterms:created xsi:type="dcterms:W3CDTF">1999-10-30T10:30:45Z</dcterms:created>
  <dcterms:modified xsi:type="dcterms:W3CDTF">2024-04-29T08:18:26Z</dcterms:modified>
  <cp:category/>
  <cp:version/>
  <cp:contentType/>
  <cp:contentStatus/>
</cp:coreProperties>
</file>