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énzügy\Beszámoló\2024\Féléves beszámoló\"/>
    </mc:Choice>
  </mc:AlternateContent>
  <bookViews>
    <workbookView xWindow="0" yWindow="0" windowWidth="28800" windowHeight="12330" tabRatio="926" firstSheet="2" activeTab="15"/>
  </bookViews>
  <sheets>
    <sheet name="IB_TARTALOMJEGYZÉK" sheetId="292" r:id="rId1"/>
    <sheet name="IB_ALAPADATOK" sheetId="293" r:id="rId2"/>
    <sheet name="IB_ÖSSZEFÜGGÉSEK" sheetId="294" r:id="rId3"/>
    <sheet name="IB_1.1.sz.mell." sheetId="295" r:id="rId4"/>
    <sheet name="IB_2.1.sz.mell" sheetId="299" r:id="rId5"/>
    <sheet name="IB_2.2.sz.mell" sheetId="300" r:id="rId6"/>
    <sheet name="IB_ELLENŐRZÉS" sheetId="301" r:id="rId7"/>
    <sheet name="IB_3.sz.mell." sheetId="302" r:id="rId8"/>
    <sheet name="IB_4.sz.mell." sheetId="303" r:id="rId9"/>
    <sheet name="IB_5.1.sz.mell" sheetId="305" r:id="rId10"/>
    <sheet name="IB_5.2.sz.mell" sheetId="309" r:id="rId11"/>
    <sheet name="IB_5.3.sz.mell" sheetId="313" r:id="rId12"/>
    <sheet name="ELLENŐRZÉS_IB" sheetId="544" r:id="rId13"/>
    <sheet name="IB_6.sz.mell" sheetId="554" r:id="rId14"/>
    <sheet name="IB_7.sz.mell" sheetId="429" r:id="rId15"/>
    <sheet name="IB_8.sz.mell" sheetId="430" r:id="rId16"/>
  </sheets>
  <definedNames>
    <definedName name="_xlnm.Print_Titles" localSheetId="9">IB_5.1.sz.mell!$1:$6</definedName>
    <definedName name="_xlnm.Print_Titles" localSheetId="10">IB_5.2.sz.mell!$1:$6</definedName>
    <definedName name="_xlnm.Print_Titles" localSheetId="11">IB_5.3.sz.mell!$1:$6</definedName>
    <definedName name="_xlnm.Print_Area" localSheetId="12">ELLENŐRZÉS_IB!$A$1:$K$173</definedName>
    <definedName name="_xlnm.Print_Area" localSheetId="3">IB_1.1.sz.mell.!$A$1:$E$167</definedName>
    <definedName name="RM_6.3.sz.mell__A_2">#REF!</definedName>
    <definedName name="RM_6.4.sz.mell__A_1">#REF!</definedName>
    <definedName name="RM_6.4.sz.mell__A_2">#REF!</definedName>
  </definedNames>
  <calcPr calcId="162913"/>
</workbook>
</file>

<file path=xl/calcChain.xml><?xml version="1.0" encoding="utf-8"?>
<calcChain xmlns="http://schemas.openxmlformats.org/spreadsheetml/2006/main">
  <c r="E38" i="429" l="1"/>
  <c r="E33" i="429"/>
  <c r="E18" i="554"/>
  <c r="E20" i="554"/>
  <c r="E21" i="554"/>
  <c r="E22" i="554"/>
  <c r="E23" i="554"/>
  <c r="E24" i="554"/>
  <c r="E25" i="554"/>
  <c r="E26" i="554"/>
  <c r="E10" i="554"/>
  <c r="E11" i="554"/>
  <c r="E12" i="554"/>
  <c r="E13" i="554"/>
  <c r="E14" i="554"/>
  <c r="E15" i="554"/>
  <c r="E16" i="554"/>
  <c r="E17" i="554"/>
  <c r="E8" i="554"/>
  <c r="E33" i="554"/>
  <c r="D18" i="430"/>
  <c r="D11" i="430"/>
  <c r="E123" i="295"/>
  <c r="E106" i="295"/>
  <c r="E99" i="305"/>
  <c r="E36" i="429"/>
  <c r="D36" i="429"/>
  <c r="C36" i="429"/>
  <c r="D33" i="429"/>
  <c r="C33" i="429"/>
  <c r="E28" i="429"/>
  <c r="C28" i="429"/>
  <c r="E22" i="429"/>
  <c r="C22" i="429"/>
  <c r="E20" i="429"/>
  <c r="C20" i="429"/>
  <c r="E15" i="429"/>
  <c r="C15" i="429"/>
  <c r="C11" i="429"/>
  <c r="E9" i="429"/>
  <c r="C9" i="429"/>
  <c r="E7" i="429"/>
  <c r="C7" i="429"/>
  <c r="D33" i="554"/>
  <c r="D71" i="554"/>
  <c r="E71" i="554"/>
  <c r="D68" i="554"/>
  <c r="E68" i="554"/>
  <c r="D7" i="554"/>
  <c r="C71" i="554"/>
  <c r="C68" i="554"/>
  <c r="C33" i="554"/>
  <c r="C7" i="554"/>
  <c r="D50" i="313"/>
  <c r="D44" i="313"/>
  <c r="D38" i="313"/>
  <c r="D31" i="313"/>
  <c r="D26" i="313"/>
  <c r="D20" i="313"/>
  <c r="D8" i="313"/>
  <c r="C50" i="313"/>
  <c r="C44" i="313"/>
  <c r="C38" i="313"/>
  <c r="C31" i="313"/>
  <c r="C26" i="313"/>
  <c r="C20" i="313"/>
  <c r="C8" i="313"/>
  <c r="C50" i="309"/>
  <c r="C44" i="309"/>
  <c r="C38" i="309"/>
  <c r="C31" i="309"/>
  <c r="C26" i="309"/>
  <c r="C20" i="309"/>
  <c r="C8" i="309"/>
  <c r="C147" i="305"/>
  <c r="C141" i="305"/>
  <c r="C134" i="305"/>
  <c r="C130" i="305"/>
  <c r="C120" i="305"/>
  <c r="C115" i="305"/>
  <c r="C112" i="305"/>
  <c r="C99" i="305" s="1"/>
  <c r="C83" i="305"/>
  <c r="C79" i="305"/>
  <c r="C76" i="305"/>
  <c r="C71" i="305"/>
  <c r="C67" i="305"/>
  <c r="C61" i="305"/>
  <c r="C56" i="305"/>
  <c r="C50" i="305"/>
  <c r="C38" i="305"/>
  <c r="C30" i="305"/>
  <c r="C23" i="305"/>
  <c r="C17" i="305"/>
  <c r="C8" i="305" s="1"/>
  <c r="C66" i="305" s="1"/>
  <c r="C13" i="305"/>
  <c r="C18" i="300"/>
  <c r="C17" i="300"/>
  <c r="H29" i="299"/>
  <c r="C19" i="299"/>
  <c r="C18" i="299"/>
  <c r="E101" i="295"/>
  <c r="E122" i="295"/>
  <c r="E137" i="295"/>
  <c r="E141" i="295"/>
  <c r="E148" i="295"/>
  <c r="E153" i="295"/>
  <c r="F92" i="544"/>
  <c r="F63" i="544"/>
  <c r="F55" i="544"/>
  <c r="F51" i="544"/>
  <c r="F47" i="544"/>
  <c r="F43" i="544"/>
  <c r="F31" i="544"/>
  <c r="F23" i="544"/>
  <c r="F19" i="544"/>
  <c r="F15" i="544"/>
  <c r="C153" i="295"/>
  <c r="C148" i="295" s="1"/>
  <c r="C161" i="295" s="1"/>
  <c r="B25" i="301" s="1"/>
  <c r="C141" i="295"/>
  <c r="C137" i="295"/>
  <c r="C127" i="295"/>
  <c r="C122" i="295" s="1"/>
  <c r="C119" i="295"/>
  <c r="C106" i="295"/>
  <c r="C86" i="295"/>
  <c r="C82" i="295"/>
  <c r="C79" i="295"/>
  <c r="C74" i="295"/>
  <c r="C70" i="295"/>
  <c r="C64" i="295"/>
  <c r="C59" i="295"/>
  <c r="C53" i="295"/>
  <c r="C41" i="295"/>
  <c r="C33" i="295"/>
  <c r="C26" i="295"/>
  <c r="C16" i="295"/>
  <c r="C16" i="544"/>
  <c r="C81" i="544"/>
  <c r="C93" i="544"/>
  <c r="C52" i="544"/>
  <c r="C15" i="544"/>
  <c r="B36" i="292"/>
  <c r="J28" i="544"/>
  <c r="J29" i="544"/>
  <c r="I28" i="544"/>
  <c r="D54" i="544"/>
  <c r="A173" i="544"/>
  <c r="B172" i="544"/>
  <c r="A172" i="544"/>
  <c r="J162" i="544"/>
  <c r="K162" i="544" s="1"/>
  <c r="I162" i="544"/>
  <c r="G162" i="544"/>
  <c r="F162" i="544"/>
  <c r="D162" i="544"/>
  <c r="C162" i="544"/>
  <c r="B162" i="544"/>
  <c r="J161" i="544"/>
  <c r="I161" i="544"/>
  <c r="G161" i="544"/>
  <c r="F161" i="544"/>
  <c r="D161" i="544"/>
  <c r="C161" i="544"/>
  <c r="B161" i="544"/>
  <c r="J160" i="544"/>
  <c r="I160" i="544"/>
  <c r="G160" i="544"/>
  <c r="H160" i="544" s="1"/>
  <c r="F160" i="544"/>
  <c r="D160" i="544"/>
  <c r="C160" i="544"/>
  <c r="B160" i="544"/>
  <c r="J159" i="544"/>
  <c r="I159" i="544"/>
  <c r="G159" i="544"/>
  <c r="F159" i="544"/>
  <c r="D159" i="544"/>
  <c r="C159" i="544"/>
  <c r="C155" i="544" s="1"/>
  <c r="B159" i="544"/>
  <c r="J158" i="544"/>
  <c r="I158" i="544"/>
  <c r="G158" i="544"/>
  <c r="F158" i="544"/>
  <c r="D158" i="544"/>
  <c r="C158" i="544"/>
  <c r="B158" i="544"/>
  <c r="J157" i="544"/>
  <c r="K157" i="544" s="1"/>
  <c r="I157" i="544"/>
  <c r="G157" i="544"/>
  <c r="F157" i="544"/>
  <c r="D157" i="544"/>
  <c r="C157" i="544"/>
  <c r="B157" i="544"/>
  <c r="J156" i="544"/>
  <c r="I156" i="544"/>
  <c r="G156" i="544"/>
  <c r="F156" i="544"/>
  <c r="H156" i="544" s="1"/>
  <c r="D156" i="544"/>
  <c r="C156" i="544"/>
  <c r="B156" i="544"/>
  <c r="B155" i="544"/>
  <c r="J154" i="544"/>
  <c r="I154" i="544"/>
  <c r="K154" i="544" s="1"/>
  <c r="G154" i="544"/>
  <c r="F154" i="544"/>
  <c r="D154" i="544"/>
  <c r="C154" i="544"/>
  <c r="B154" i="544"/>
  <c r="J153" i="544"/>
  <c r="I153" i="544"/>
  <c r="K153" i="544" s="1"/>
  <c r="G153" i="544"/>
  <c r="F153" i="544"/>
  <c r="D153" i="544"/>
  <c r="C153" i="544"/>
  <c r="E153" i="544" s="1"/>
  <c r="B153" i="544"/>
  <c r="J152" i="544"/>
  <c r="G152" i="544"/>
  <c r="D152" i="544"/>
  <c r="D165" i="544" s="1"/>
  <c r="B152" i="544"/>
  <c r="B165" i="544" s="1"/>
  <c r="J151" i="544"/>
  <c r="I151" i="544"/>
  <c r="K151" i="544" s="1"/>
  <c r="G151" i="544"/>
  <c r="G149" i="544" s="1"/>
  <c r="F151" i="544"/>
  <c r="D151" i="544"/>
  <c r="C151" i="544"/>
  <c r="E151" i="544" s="1"/>
  <c r="B151" i="544"/>
  <c r="A151" i="544"/>
  <c r="A152" i="544" s="1"/>
  <c r="A153" i="544" s="1"/>
  <c r="A154" i="544" s="1"/>
  <c r="A155" i="544" s="1"/>
  <c r="A156" i="544" s="1"/>
  <c r="A157" i="544" s="1"/>
  <c r="A158" i="544" s="1"/>
  <c r="A159" i="544" s="1"/>
  <c r="A160" i="544" s="1"/>
  <c r="A161" i="544" s="1"/>
  <c r="A162" i="544" s="1"/>
  <c r="A163" i="544" s="1"/>
  <c r="A164" i="544" s="1"/>
  <c r="A165" i="544" s="1"/>
  <c r="A166" i="544" s="1"/>
  <c r="A167" i="544" s="1"/>
  <c r="J150" i="544"/>
  <c r="I150" i="544"/>
  <c r="G150" i="544"/>
  <c r="F150" i="544"/>
  <c r="D150" i="544"/>
  <c r="C150" i="544"/>
  <c r="B150" i="544"/>
  <c r="A150" i="544"/>
  <c r="B149" i="544"/>
  <c r="A149" i="544"/>
  <c r="J148" i="544"/>
  <c r="I148" i="544"/>
  <c r="K148" i="544"/>
  <c r="G148" i="544"/>
  <c r="H148" i="544" s="1"/>
  <c r="F148" i="544"/>
  <c r="D148" i="544"/>
  <c r="C148" i="544"/>
  <c r="B148" i="544"/>
  <c r="A148" i="544"/>
  <c r="J147" i="544"/>
  <c r="I147" i="544"/>
  <c r="G147" i="544"/>
  <c r="F147" i="544"/>
  <c r="D147" i="544"/>
  <c r="C147" i="544"/>
  <c r="B147" i="544"/>
  <c r="A147" i="544"/>
  <c r="J146" i="544"/>
  <c r="I146" i="544"/>
  <c r="K146" i="544" s="1"/>
  <c r="G146" i="544"/>
  <c r="F146" i="544"/>
  <c r="D146" i="544"/>
  <c r="C146" i="544"/>
  <c r="B146" i="544"/>
  <c r="A146" i="544"/>
  <c r="J145" i="544"/>
  <c r="I145" i="544"/>
  <c r="G145" i="544"/>
  <c r="F145" i="544"/>
  <c r="H145" i="544"/>
  <c r="D145" i="544"/>
  <c r="C145" i="544"/>
  <c r="B145" i="544"/>
  <c r="A145" i="544"/>
  <c r="J144" i="544"/>
  <c r="K144" i="544" s="1"/>
  <c r="I144" i="544"/>
  <c r="G144" i="544"/>
  <c r="F144" i="544"/>
  <c r="D144" i="544"/>
  <c r="C144" i="544"/>
  <c r="B144" i="544"/>
  <c r="A144" i="544"/>
  <c r="J143" i="544"/>
  <c r="I143" i="544"/>
  <c r="G143" i="544"/>
  <c r="F143" i="544"/>
  <c r="H143" i="544" s="1"/>
  <c r="D143" i="544"/>
  <c r="C143" i="544"/>
  <c r="B143" i="544"/>
  <c r="A143" i="544"/>
  <c r="B142" i="544"/>
  <c r="A142" i="544"/>
  <c r="J141" i="544"/>
  <c r="I141" i="544"/>
  <c r="G141" i="544"/>
  <c r="F141" i="544"/>
  <c r="D141" i="544"/>
  <c r="C141" i="544"/>
  <c r="B141" i="544"/>
  <c r="A141" i="544"/>
  <c r="J140" i="544"/>
  <c r="I140" i="544"/>
  <c r="G140" i="544"/>
  <c r="F140" i="544"/>
  <c r="D140" i="544"/>
  <c r="C140" i="544"/>
  <c r="B140" i="544"/>
  <c r="A140" i="544"/>
  <c r="J139" i="544"/>
  <c r="I139" i="544"/>
  <c r="G139" i="544"/>
  <c r="H139" i="544" s="1"/>
  <c r="F139" i="544"/>
  <c r="D139" i="544"/>
  <c r="C139" i="544"/>
  <c r="C138" i="544" s="1"/>
  <c r="B139" i="544"/>
  <c r="A139" i="544"/>
  <c r="B138" i="544"/>
  <c r="A138" i="544"/>
  <c r="B137" i="544"/>
  <c r="A137" i="544"/>
  <c r="J136" i="544"/>
  <c r="I136" i="544"/>
  <c r="K136" i="544" s="1"/>
  <c r="G136" i="544"/>
  <c r="H136" i="544" s="1"/>
  <c r="F136" i="544"/>
  <c r="D136" i="544"/>
  <c r="C136" i="544"/>
  <c r="B136" i="544"/>
  <c r="A136" i="544"/>
  <c r="J135" i="544"/>
  <c r="I135" i="544"/>
  <c r="G135" i="544"/>
  <c r="F135" i="544"/>
  <c r="D135" i="544"/>
  <c r="C135" i="544"/>
  <c r="B135" i="544"/>
  <c r="A135" i="544"/>
  <c r="J134" i="544"/>
  <c r="I134" i="544"/>
  <c r="G134" i="544"/>
  <c r="H134" i="544" s="1"/>
  <c r="F134" i="544"/>
  <c r="D134" i="544"/>
  <c r="C134" i="544"/>
  <c r="B134" i="544"/>
  <c r="A134" i="544"/>
  <c r="J133" i="544"/>
  <c r="I133" i="544"/>
  <c r="G133" i="544"/>
  <c r="F133" i="544"/>
  <c r="D133" i="544"/>
  <c r="C133" i="544"/>
  <c r="B133" i="544"/>
  <c r="A133" i="544"/>
  <c r="J132" i="544"/>
  <c r="I132" i="544"/>
  <c r="G132" i="544"/>
  <c r="F132" i="544"/>
  <c r="D132" i="544"/>
  <c r="C132" i="544"/>
  <c r="B132" i="544"/>
  <c r="A132" i="544"/>
  <c r="J131" i="544"/>
  <c r="I131" i="544"/>
  <c r="G131" i="544"/>
  <c r="F131" i="544"/>
  <c r="D131" i="544"/>
  <c r="C131" i="544"/>
  <c r="B131" i="544"/>
  <c r="A131" i="544"/>
  <c r="J130" i="544"/>
  <c r="I130" i="544"/>
  <c r="G130" i="544"/>
  <c r="F130" i="544"/>
  <c r="D130" i="544"/>
  <c r="C130" i="544"/>
  <c r="B130" i="544"/>
  <c r="A130" i="544"/>
  <c r="J129" i="544"/>
  <c r="I129" i="544"/>
  <c r="G129" i="544"/>
  <c r="F129" i="544"/>
  <c r="D129" i="544"/>
  <c r="C129" i="544"/>
  <c r="B129" i="544"/>
  <c r="A129" i="544"/>
  <c r="J128" i="544"/>
  <c r="I128" i="544"/>
  <c r="G128" i="544"/>
  <c r="F128" i="544"/>
  <c r="D128" i="544"/>
  <c r="B128" i="544"/>
  <c r="A128" i="544"/>
  <c r="J127" i="544"/>
  <c r="I127" i="544"/>
  <c r="G127" i="544"/>
  <c r="F127" i="544"/>
  <c r="D127" i="544"/>
  <c r="C127" i="544"/>
  <c r="B127" i="544"/>
  <c r="A127" i="544"/>
  <c r="J126" i="544"/>
  <c r="I126" i="544"/>
  <c r="G126" i="544"/>
  <c r="F126" i="544"/>
  <c r="D126" i="544"/>
  <c r="C126" i="544"/>
  <c r="B126" i="544"/>
  <c r="A126" i="544"/>
  <c r="J125" i="544"/>
  <c r="I125" i="544"/>
  <c r="G125" i="544"/>
  <c r="F125" i="544"/>
  <c r="D125" i="544"/>
  <c r="C125" i="544"/>
  <c r="B125" i="544"/>
  <c r="A125" i="544"/>
  <c r="J124" i="544"/>
  <c r="I124" i="544"/>
  <c r="G124" i="544"/>
  <c r="F124" i="544"/>
  <c r="D124" i="544"/>
  <c r="C124" i="544"/>
  <c r="B124" i="544"/>
  <c r="A124" i="544"/>
  <c r="B123" i="544"/>
  <c r="A123" i="544"/>
  <c r="J122" i="544"/>
  <c r="I122" i="544"/>
  <c r="G122" i="544"/>
  <c r="F122" i="544"/>
  <c r="D122" i="544"/>
  <c r="C122" i="544"/>
  <c r="B122" i="544"/>
  <c r="A122" i="544"/>
  <c r="J121" i="544"/>
  <c r="I121" i="544"/>
  <c r="G121" i="544"/>
  <c r="F121" i="544"/>
  <c r="D121" i="544"/>
  <c r="C121" i="544"/>
  <c r="B121" i="544"/>
  <c r="A121" i="544"/>
  <c r="J120" i="544"/>
  <c r="I120" i="544"/>
  <c r="G120" i="544"/>
  <c r="F120" i="544"/>
  <c r="C120" i="544"/>
  <c r="B120" i="544"/>
  <c r="A120" i="544"/>
  <c r="J119" i="544"/>
  <c r="I119" i="544"/>
  <c r="G119" i="544"/>
  <c r="F119" i="544"/>
  <c r="D119" i="544"/>
  <c r="C119" i="544"/>
  <c r="B119" i="544"/>
  <c r="A119" i="544"/>
  <c r="J118" i="544"/>
  <c r="I118" i="544"/>
  <c r="G118" i="544"/>
  <c r="F118" i="544"/>
  <c r="D118" i="544"/>
  <c r="C118" i="544"/>
  <c r="B118" i="544"/>
  <c r="A118" i="544"/>
  <c r="J117" i="544"/>
  <c r="I117" i="544"/>
  <c r="G117" i="544"/>
  <c r="F117" i="544"/>
  <c r="D117" i="544"/>
  <c r="C117" i="544"/>
  <c r="B117" i="544"/>
  <c r="A117" i="544"/>
  <c r="J116" i="544"/>
  <c r="I116" i="544"/>
  <c r="G116" i="544"/>
  <c r="F116" i="544"/>
  <c r="D116" i="544"/>
  <c r="E116" i="544" s="1"/>
  <c r="C116" i="544"/>
  <c r="B116" i="544"/>
  <c r="A116" i="544"/>
  <c r="J115" i="544"/>
  <c r="K115" i="544" s="1"/>
  <c r="I115" i="544"/>
  <c r="G115" i="544"/>
  <c r="F115" i="544"/>
  <c r="D115" i="544"/>
  <c r="E115" i="544" s="1"/>
  <c r="C115" i="544"/>
  <c r="B115" i="544"/>
  <c r="A115" i="544"/>
  <c r="J114" i="544"/>
  <c r="I114" i="544"/>
  <c r="G114" i="544"/>
  <c r="F114" i="544"/>
  <c r="D114" i="544"/>
  <c r="E114" i="544" s="1"/>
  <c r="C114" i="544"/>
  <c r="B114" i="544"/>
  <c r="A114" i="544"/>
  <c r="J113" i="544"/>
  <c r="I113" i="544"/>
  <c r="G113" i="544"/>
  <c r="F113" i="544"/>
  <c r="D113" i="544"/>
  <c r="C113" i="544"/>
  <c r="B113" i="544"/>
  <c r="A113" i="544"/>
  <c r="J112" i="544"/>
  <c r="I112" i="544"/>
  <c r="G112" i="544"/>
  <c r="F112" i="544"/>
  <c r="D112" i="544"/>
  <c r="E112" i="544" s="1"/>
  <c r="C112" i="544"/>
  <c r="B112" i="544"/>
  <c r="A112" i="544"/>
  <c r="J111" i="544"/>
  <c r="K111" i="544" s="1"/>
  <c r="I111" i="544"/>
  <c r="G111" i="544"/>
  <c r="F111" i="544"/>
  <c r="D111" i="544"/>
  <c r="E111" i="544" s="1"/>
  <c r="C111" i="544"/>
  <c r="B111" i="544"/>
  <c r="A111" i="544"/>
  <c r="J110" i="544"/>
  <c r="I110" i="544"/>
  <c r="G110" i="544"/>
  <c r="F110" i="544"/>
  <c r="H110" i="544" s="1"/>
  <c r="D110" i="544"/>
  <c r="C110" i="544"/>
  <c r="B110" i="544"/>
  <c r="A110" i="544"/>
  <c r="J109" i="544"/>
  <c r="I109" i="544"/>
  <c r="G109" i="544"/>
  <c r="F109" i="544"/>
  <c r="D109" i="544"/>
  <c r="E109" i="544" s="1"/>
  <c r="C109" i="544"/>
  <c r="B109" i="544"/>
  <c r="A109" i="544"/>
  <c r="J108" i="544"/>
  <c r="I108" i="544"/>
  <c r="G108" i="544"/>
  <c r="H108" i="544" s="1"/>
  <c r="F108" i="544"/>
  <c r="D108" i="544"/>
  <c r="C108" i="544"/>
  <c r="B108" i="544"/>
  <c r="A108" i="544"/>
  <c r="J107" i="544"/>
  <c r="I107" i="544"/>
  <c r="G107" i="544"/>
  <c r="F107" i="544"/>
  <c r="B107" i="544"/>
  <c r="A107" i="544"/>
  <c r="J106" i="544"/>
  <c r="I106" i="544"/>
  <c r="G106" i="544"/>
  <c r="F106" i="544"/>
  <c r="D106" i="544"/>
  <c r="E106" i="544" s="1"/>
  <c r="C106" i="544"/>
  <c r="B106" i="544"/>
  <c r="A106" i="544"/>
  <c r="J105" i="544"/>
  <c r="I105" i="544"/>
  <c r="G105" i="544"/>
  <c r="F105" i="544"/>
  <c r="H105" i="544" s="1"/>
  <c r="D105" i="544"/>
  <c r="C105" i="544"/>
  <c r="B105" i="544"/>
  <c r="A105" i="544"/>
  <c r="J104" i="544"/>
  <c r="I104" i="544"/>
  <c r="G104" i="544"/>
  <c r="F104" i="544"/>
  <c r="F102" i="544" s="1"/>
  <c r="D104" i="544"/>
  <c r="E104" i="544" s="1"/>
  <c r="C104" i="544"/>
  <c r="B104" i="544"/>
  <c r="A104" i="544"/>
  <c r="J103" i="544"/>
  <c r="I103" i="544"/>
  <c r="G103" i="544"/>
  <c r="G102" i="544" s="1"/>
  <c r="F103" i="544"/>
  <c r="D103" i="544"/>
  <c r="D102" i="544" s="1"/>
  <c r="C103" i="544"/>
  <c r="B103" i="544"/>
  <c r="A103" i="544"/>
  <c r="B102" i="544"/>
  <c r="A102" i="544"/>
  <c r="J93" i="544"/>
  <c r="K93" i="544" s="1"/>
  <c r="I93" i="544"/>
  <c r="G93" i="544"/>
  <c r="F93" i="544"/>
  <c r="D93" i="544"/>
  <c r="B93" i="544"/>
  <c r="J92" i="544"/>
  <c r="I92" i="544"/>
  <c r="G92" i="544"/>
  <c r="D92" i="544"/>
  <c r="C92" i="544"/>
  <c r="B92" i="544"/>
  <c r="J91" i="544"/>
  <c r="K91" i="544" s="1"/>
  <c r="I91" i="544"/>
  <c r="G91" i="544"/>
  <c r="F91" i="544"/>
  <c r="D91" i="544"/>
  <c r="C91" i="544"/>
  <c r="B91" i="544"/>
  <c r="J90" i="544"/>
  <c r="K90" i="544" s="1"/>
  <c r="I90" i="544"/>
  <c r="G90" i="544"/>
  <c r="F90" i="544"/>
  <c r="D90" i="544"/>
  <c r="E90" i="544" s="1"/>
  <c r="C90" i="544"/>
  <c r="B90" i="544"/>
  <c r="J89" i="544"/>
  <c r="I89" i="544"/>
  <c r="K89" i="544" s="1"/>
  <c r="G89" i="544"/>
  <c r="F89" i="544"/>
  <c r="D89" i="544"/>
  <c r="C89" i="544"/>
  <c r="B89" i="544"/>
  <c r="J88" i="544"/>
  <c r="I88" i="544"/>
  <c r="G88" i="544"/>
  <c r="D88" i="544"/>
  <c r="C88" i="544"/>
  <c r="B88" i="544"/>
  <c r="B87" i="544"/>
  <c r="J86" i="544"/>
  <c r="I86" i="544"/>
  <c r="G86" i="544"/>
  <c r="F86" i="544"/>
  <c r="D86" i="544"/>
  <c r="C86" i="544"/>
  <c r="B86" i="544"/>
  <c r="J85" i="544"/>
  <c r="I85" i="544"/>
  <c r="G85" i="544"/>
  <c r="F85" i="544"/>
  <c r="D85" i="544"/>
  <c r="C85" i="544"/>
  <c r="B85" i="544"/>
  <c r="J84" i="544"/>
  <c r="I84" i="544"/>
  <c r="G84" i="544"/>
  <c r="G83" i="544" s="1"/>
  <c r="D84" i="544"/>
  <c r="C84" i="544"/>
  <c r="E84" i="544" s="1"/>
  <c r="B84" i="544"/>
  <c r="B83" i="544"/>
  <c r="J82" i="544"/>
  <c r="G82" i="544"/>
  <c r="G96" i="544"/>
  <c r="D82" i="544"/>
  <c r="D96" i="544" s="1"/>
  <c r="B82" i="544"/>
  <c r="J81" i="544"/>
  <c r="I81" i="544"/>
  <c r="G81" i="544"/>
  <c r="F81" i="544"/>
  <c r="D81" i="544"/>
  <c r="B81" i="544"/>
  <c r="A81" i="544"/>
  <c r="J80" i="544"/>
  <c r="J79" i="544"/>
  <c r="I80" i="544"/>
  <c r="G80" i="544"/>
  <c r="G79" i="544" s="1"/>
  <c r="F80" i="544"/>
  <c r="F79" i="544" s="1"/>
  <c r="D80" i="544"/>
  <c r="C80" i="544"/>
  <c r="C79" i="544" s="1"/>
  <c r="B80" i="544"/>
  <c r="A80" i="544"/>
  <c r="B79" i="544"/>
  <c r="A79" i="544"/>
  <c r="J78" i="544"/>
  <c r="I78" i="544"/>
  <c r="K78" i="544" s="1"/>
  <c r="G78" i="544"/>
  <c r="F78" i="544"/>
  <c r="D78" i="544"/>
  <c r="C78" i="544"/>
  <c r="E78" i="544" s="1"/>
  <c r="B78" i="544"/>
  <c r="A78" i="544"/>
  <c r="J77" i="544"/>
  <c r="I77" i="544"/>
  <c r="G77" i="544"/>
  <c r="F77" i="544"/>
  <c r="D77" i="544"/>
  <c r="C77" i="544"/>
  <c r="B77" i="544"/>
  <c r="A77" i="544"/>
  <c r="J76" i="544"/>
  <c r="K76" i="544" s="1"/>
  <c r="I76" i="544"/>
  <c r="G76" i="544"/>
  <c r="F76" i="544"/>
  <c r="D76" i="544"/>
  <c r="E76" i="544" s="1"/>
  <c r="C76" i="544"/>
  <c r="B76" i="544"/>
  <c r="A76" i="544"/>
  <c r="J75" i="544"/>
  <c r="I75" i="544"/>
  <c r="G75" i="544"/>
  <c r="D75" i="544"/>
  <c r="C75" i="544"/>
  <c r="B75" i="544"/>
  <c r="A75" i="544"/>
  <c r="B74" i="544"/>
  <c r="A74" i="544"/>
  <c r="J73" i="544"/>
  <c r="I73" i="544"/>
  <c r="G73" i="544"/>
  <c r="F73" i="544"/>
  <c r="D73" i="544"/>
  <c r="C73" i="544"/>
  <c r="B73" i="544"/>
  <c r="A73" i="544"/>
  <c r="J72" i="544"/>
  <c r="I72" i="544"/>
  <c r="G72" i="544"/>
  <c r="F72" i="544"/>
  <c r="D72" i="544"/>
  <c r="C72" i="544"/>
  <c r="E72" i="544" s="1"/>
  <c r="B72" i="544"/>
  <c r="A72" i="544"/>
  <c r="J71" i="544"/>
  <c r="I71" i="544"/>
  <c r="G71" i="544"/>
  <c r="D71" i="544"/>
  <c r="C71" i="544"/>
  <c r="C70" i="544"/>
  <c r="B71" i="544"/>
  <c r="A71" i="544"/>
  <c r="B70" i="544"/>
  <c r="A70" i="544"/>
  <c r="B69" i="544"/>
  <c r="A69" i="544"/>
  <c r="J68" i="544"/>
  <c r="I68" i="544"/>
  <c r="K68" i="544" s="1"/>
  <c r="G68" i="544"/>
  <c r="F68" i="544"/>
  <c r="D68" i="544"/>
  <c r="B68" i="544"/>
  <c r="A68" i="544"/>
  <c r="J67" i="544"/>
  <c r="I67" i="544"/>
  <c r="G67" i="544"/>
  <c r="H67" i="544" s="1"/>
  <c r="F67" i="544"/>
  <c r="D67" i="544"/>
  <c r="C67" i="544"/>
  <c r="B67" i="544"/>
  <c r="A67" i="544"/>
  <c r="J66" i="544"/>
  <c r="I66" i="544"/>
  <c r="G66" i="544"/>
  <c r="F66" i="544"/>
  <c r="D66" i="544"/>
  <c r="C66" i="544"/>
  <c r="B66" i="544"/>
  <c r="A66" i="544"/>
  <c r="J65" i="544"/>
  <c r="J64" i="544" s="1"/>
  <c r="I65" i="544"/>
  <c r="G65" i="544"/>
  <c r="F65" i="544"/>
  <c r="D65" i="544"/>
  <c r="C65" i="544"/>
  <c r="C64" i="544" s="1"/>
  <c r="B65" i="544"/>
  <c r="A65" i="544"/>
  <c r="B64" i="544"/>
  <c r="A64" i="544"/>
  <c r="J63" i="544"/>
  <c r="K63" i="544" s="1"/>
  <c r="I63" i="544"/>
  <c r="G63" i="544"/>
  <c r="D63" i="544"/>
  <c r="C63" i="544"/>
  <c r="B63" i="544"/>
  <c r="A63" i="544"/>
  <c r="J62" i="544"/>
  <c r="I62" i="544"/>
  <c r="G62" i="544"/>
  <c r="H62" i="544" s="1"/>
  <c r="F62" i="544"/>
  <c r="D62" i="544"/>
  <c r="C62" i="544"/>
  <c r="B62" i="544"/>
  <c r="A62" i="544"/>
  <c r="J61" i="544"/>
  <c r="K61" i="544" s="1"/>
  <c r="I61" i="544"/>
  <c r="G61" i="544"/>
  <c r="F61" i="544"/>
  <c r="D61" i="544"/>
  <c r="E61" i="544" s="1"/>
  <c r="C61" i="544"/>
  <c r="B61" i="544"/>
  <c r="A61" i="544"/>
  <c r="J60" i="544"/>
  <c r="K60" i="544" s="1"/>
  <c r="I60" i="544"/>
  <c r="G60" i="544"/>
  <c r="F60" i="544"/>
  <c r="F59" i="544" s="1"/>
  <c r="D60" i="544"/>
  <c r="C60" i="544"/>
  <c r="C59" i="544" s="1"/>
  <c r="B60" i="544"/>
  <c r="A60" i="544"/>
  <c r="B59" i="544"/>
  <c r="A59" i="544"/>
  <c r="J58" i="544"/>
  <c r="I58" i="544"/>
  <c r="G58" i="544"/>
  <c r="F58" i="544"/>
  <c r="D58" i="544"/>
  <c r="C58" i="544"/>
  <c r="B58" i="544"/>
  <c r="A58" i="544"/>
  <c r="J57" i="544"/>
  <c r="I57" i="544"/>
  <c r="G57" i="544"/>
  <c r="F57" i="544"/>
  <c r="D57" i="544"/>
  <c r="C57" i="544"/>
  <c r="B57" i="544"/>
  <c r="A57" i="544"/>
  <c r="J56" i="544"/>
  <c r="I56" i="544"/>
  <c r="G56" i="544"/>
  <c r="F56" i="544"/>
  <c r="D56" i="544"/>
  <c r="C56" i="544"/>
  <c r="B56" i="544"/>
  <c r="A56" i="544"/>
  <c r="J55" i="544"/>
  <c r="I55" i="544"/>
  <c r="G55" i="544"/>
  <c r="D55" i="544"/>
  <c r="C55" i="544"/>
  <c r="B55" i="544"/>
  <c r="A55" i="544"/>
  <c r="J54" i="544"/>
  <c r="J53" i="544"/>
  <c r="I54" i="544"/>
  <c r="G54" i="544"/>
  <c r="F54" i="544"/>
  <c r="C54" i="544"/>
  <c r="B54" i="544"/>
  <c r="A54" i="544"/>
  <c r="B53" i="544"/>
  <c r="A53" i="544"/>
  <c r="J52" i="544"/>
  <c r="I52" i="544"/>
  <c r="G52" i="544"/>
  <c r="F52" i="544"/>
  <c r="D52" i="544"/>
  <c r="B52" i="544"/>
  <c r="A52" i="544"/>
  <c r="J51" i="544"/>
  <c r="I51" i="544"/>
  <c r="G51" i="544"/>
  <c r="D51" i="544"/>
  <c r="C51" i="544"/>
  <c r="B51" i="544"/>
  <c r="A51" i="544"/>
  <c r="J50" i="544"/>
  <c r="I50" i="544"/>
  <c r="G50" i="544"/>
  <c r="F50" i="544"/>
  <c r="D50" i="544"/>
  <c r="C50" i="544"/>
  <c r="B50" i="544"/>
  <c r="A50" i="544"/>
  <c r="J49" i="544"/>
  <c r="I49" i="544"/>
  <c r="G49" i="544"/>
  <c r="F49" i="544"/>
  <c r="D49" i="544"/>
  <c r="C49" i="544"/>
  <c r="B49" i="544"/>
  <c r="A49" i="544"/>
  <c r="J48" i="544"/>
  <c r="I48" i="544"/>
  <c r="G48" i="544"/>
  <c r="F48" i="544"/>
  <c r="D48" i="544"/>
  <c r="C48" i="544"/>
  <c r="B48" i="544"/>
  <c r="A48" i="544"/>
  <c r="J47" i="544"/>
  <c r="I47" i="544"/>
  <c r="G47" i="544"/>
  <c r="D47" i="544"/>
  <c r="C47" i="544"/>
  <c r="B47" i="544"/>
  <c r="A47" i="544"/>
  <c r="J46" i="544"/>
  <c r="I46" i="544"/>
  <c r="G46" i="544"/>
  <c r="F46" i="544"/>
  <c r="D46" i="544"/>
  <c r="C46" i="544"/>
  <c r="B46" i="544"/>
  <c r="A46" i="544"/>
  <c r="J45" i="544"/>
  <c r="I45" i="544"/>
  <c r="G45" i="544"/>
  <c r="F45" i="544"/>
  <c r="D45" i="544"/>
  <c r="C45" i="544"/>
  <c r="B45" i="544"/>
  <c r="A45" i="544"/>
  <c r="J44" i="544"/>
  <c r="I44" i="544"/>
  <c r="G44" i="544"/>
  <c r="F44" i="544"/>
  <c r="D44" i="544"/>
  <c r="C44" i="544"/>
  <c r="B44" i="544"/>
  <c r="A44" i="544"/>
  <c r="J43" i="544"/>
  <c r="I43" i="544"/>
  <c r="G43" i="544"/>
  <c r="D43" i="544"/>
  <c r="E43" i="544" s="1"/>
  <c r="C43" i="544"/>
  <c r="B43" i="544"/>
  <c r="A43" i="544"/>
  <c r="J42" i="544"/>
  <c r="I42" i="544"/>
  <c r="G42" i="544"/>
  <c r="G41" i="544"/>
  <c r="F42" i="544"/>
  <c r="D42" i="544"/>
  <c r="C42" i="544"/>
  <c r="B42" i="544"/>
  <c r="A42" i="544"/>
  <c r="B41" i="544"/>
  <c r="A41" i="544"/>
  <c r="J40" i="544"/>
  <c r="I40" i="544"/>
  <c r="G40" i="544"/>
  <c r="F40" i="544"/>
  <c r="H40" i="544"/>
  <c r="D40" i="544"/>
  <c r="C40" i="544"/>
  <c r="B40" i="544"/>
  <c r="A40" i="544"/>
  <c r="J39" i="544"/>
  <c r="K39" i="544" s="1"/>
  <c r="I39" i="544"/>
  <c r="G39" i="544"/>
  <c r="F39" i="544"/>
  <c r="D39" i="544"/>
  <c r="E39" i="544" s="1"/>
  <c r="C39" i="544"/>
  <c r="B39" i="544"/>
  <c r="A39" i="544"/>
  <c r="J38" i="544"/>
  <c r="I38" i="544"/>
  <c r="G38" i="544"/>
  <c r="F38" i="544"/>
  <c r="F33" i="544" s="1"/>
  <c r="D38" i="544"/>
  <c r="C38" i="544"/>
  <c r="E38" i="544"/>
  <c r="B38" i="544"/>
  <c r="A38" i="544"/>
  <c r="J37" i="544"/>
  <c r="I37" i="544"/>
  <c r="K37" i="544" s="1"/>
  <c r="G37" i="544"/>
  <c r="F37" i="544"/>
  <c r="D37" i="544"/>
  <c r="C37" i="544"/>
  <c r="B37" i="544"/>
  <c r="A37" i="544"/>
  <c r="J36" i="544"/>
  <c r="I36" i="544"/>
  <c r="K36" i="544" s="1"/>
  <c r="G36" i="544"/>
  <c r="F36" i="544"/>
  <c r="D36" i="544"/>
  <c r="C36" i="544"/>
  <c r="B36" i="544"/>
  <c r="A36" i="544"/>
  <c r="J35" i="544"/>
  <c r="I35" i="544"/>
  <c r="G35" i="544"/>
  <c r="H35" i="544" s="1"/>
  <c r="F35" i="544"/>
  <c r="D35" i="544"/>
  <c r="C35" i="544"/>
  <c r="B35" i="544"/>
  <c r="A35" i="544"/>
  <c r="J34" i="544"/>
  <c r="I34" i="544"/>
  <c r="G34" i="544"/>
  <c r="F34" i="544"/>
  <c r="D34" i="544"/>
  <c r="D33" i="544" s="1"/>
  <c r="C34" i="544"/>
  <c r="B34" i="544"/>
  <c r="A34" i="544"/>
  <c r="B33" i="544"/>
  <c r="A33" i="544"/>
  <c r="J32" i="544"/>
  <c r="I32" i="544"/>
  <c r="G32" i="544"/>
  <c r="F32" i="544"/>
  <c r="D32" i="544"/>
  <c r="E32" i="544" s="1"/>
  <c r="C32" i="544"/>
  <c r="B32" i="544"/>
  <c r="A32" i="544"/>
  <c r="J31" i="544"/>
  <c r="I31" i="544"/>
  <c r="G31" i="544"/>
  <c r="D31" i="544"/>
  <c r="C31" i="544"/>
  <c r="B31" i="544"/>
  <c r="A31" i="544"/>
  <c r="J30" i="544"/>
  <c r="I30" i="544"/>
  <c r="G30" i="544"/>
  <c r="F30" i="544"/>
  <c r="D30" i="544"/>
  <c r="E30" i="544" s="1"/>
  <c r="C30" i="544"/>
  <c r="B30" i="544"/>
  <c r="A30" i="544"/>
  <c r="I29" i="544"/>
  <c r="I26" i="544" s="1"/>
  <c r="G29" i="544"/>
  <c r="F29" i="544"/>
  <c r="D29" i="544"/>
  <c r="C29" i="544"/>
  <c r="E29" i="544" s="1"/>
  <c r="B29" i="544"/>
  <c r="A29" i="544"/>
  <c r="G28" i="544"/>
  <c r="F28" i="544"/>
  <c r="D28" i="544"/>
  <c r="C28" i="544"/>
  <c r="B28" i="544"/>
  <c r="A28" i="544"/>
  <c r="J27" i="544"/>
  <c r="I27" i="544"/>
  <c r="G27" i="544"/>
  <c r="G26" i="544" s="1"/>
  <c r="D27" i="544"/>
  <c r="C27" i="544"/>
  <c r="B27" i="544"/>
  <c r="A27" i="544"/>
  <c r="B26" i="544"/>
  <c r="A26" i="544"/>
  <c r="J25" i="544"/>
  <c r="K25" i="544" s="1"/>
  <c r="I25" i="544"/>
  <c r="G25" i="544"/>
  <c r="F25" i="544"/>
  <c r="D25" i="544"/>
  <c r="C25" i="544"/>
  <c r="B25" i="544"/>
  <c r="J24" i="544"/>
  <c r="I24" i="544"/>
  <c r="G24" i="544"/>
  <c r="F24" i="544"/>
  <c r="D24" i="544"/>
  <c r="C24" i="544"/>
  <c r="B24" i="544"/>
  <c r="J23" i="544"/>
  <c r="K23" i="544" s="1"/>
  <c r="I23" i="544"/>
  <c r="G23" i="544"/>
  <c r="D23" i="544"/>
  <c r="C23" i="544"/>
  <c r="B23" i="544"/>
  <c r="J22" i="544"/>
  <c r="I22" i="544"/>
  <c r="K22" i="544" s="1"/>
  <c r="G22" i="544"/>
  <c r="F22" i="544"/>
  <c r="D22" i="544"/>
  <c r="C22" i="544"/>
  <c r="B22" i="544"/>
  <c r="J21" i="544"/>
  <c r="I21" i="544"/>
  <c r="G21" i="544"/>
  <c r="F21" i="544"/>
  <c r="D21" i="544"/>
  <c r="C21" i="544"/>
  <c r="B21" i="544"/>
  <c r="B20" i="544"/>
  <c r="J19" i="544"/>
  <c r="I19" i="544"/>
  <c r="G19" i="544"/>
  <c r="D19" i="544"/>
  <c r="B19" i="544"/>
  <c r="J18" i="544"/>
  <c r="I18" i="544"/>
  <c r="G18" i="544"/>
  <c r="H18" i="544" s="1"/>
  <c r="F18" i="544"/>
  <c r="D18" i="544"/>
  <c r="C18" i="544"/>
  <c r="E18" i="544" s="1"/>
  <c r="B18" i="544"/>
  <c r="J17" i="544"/>
  <c r="I17" i="544"/>
  <c r="G17" i="544"/>
  <c r="F17" i="544"/>
  <c r="D17" i="544"/>
  <c r="C17" i="544"/>
  <c r="B17" i="544"/>
  <c r="J16" i="544"/>
  <c r="K16" i="544" s="1"/>
  <c r="I16" i="544"/>
  <c r="G16" i="544"/>
  <c r="F16" i="544"/>
  <c r="D16" i="544"/>
  <c r="B16" i="544"/>
  <c r="J15" i="544"/>
  <c r="I15" i="544"/>
  <c r="G15" i="544"/>
  <c r="D15" i="544"/>
  <c r="B15" i="544"/>
  <c r="J14" i="544"/>
  <c r="K14" i="544" s="1"/>
  <c r="I14" i="544"/>
  <c r="G14" i="544"/>
  <c r="F14" i="544"/>
  <c r="D14" i="544"/>
  <c r="E14" i="544" s="1"/>
  <c r="C14" i="544"/>
  <c r="B14" i="544"/>
  <c r="J13" i="544"/>
  <c r="I13" i="544"/>
  <c r="G13" i="544"/>
  <c r="F13" i="544"/>
  <c r="D13" i="544"/>
  <c r="C13" i="544"/>
  <c r="B13" i="544"/>
  <c r="J12" i="544"/>
  <c r="I12" i="544"/>
  <c r="G12" i="544"/>
  <c r="F12" i="544"/>
  <c r="D12" i="544"/>
  <c r="C12" i="544"/>
  <c r="B12" i="544"/>
  <c r="B11" i="544"/>
  <c r="E17" i="305"/>
  <c r="E8" i="305"/>
  <c r="E82" i="295"/>
  <c r="E86" i="295"/>
  <c r="E79" i="295"/>
  <c r="E74" i="295"/>
  <c r="E70" i="295"/>
  <c r="E64" i="295"/>
  <c r="E59" i="295"/>
  <c r="E53" i="295"/>
  <c r="E41" i="295"/>
  <c r="E33" i="295"/>
  <c r="E26" i="295"/>
  <c r="E20" i="295"/>
  <c r="E11" i="295" s="1"/>
  <c r="I17" i="300"/>
  <c r="I30" i="300"/>
  <c r="I29" i="299"/>
  <c r="I18" i="299"/>
  <c r="D36" i="301" s="1"/>
  <c r="E24" i="299"/>
  <c r="E19" i="299"/>
  <c r="E18" i="299"/>
  <c r="D18" i="301"/>
  <c r="E18" i="300"/>
  <c r="E24" i="300"/>
  <c r="E17" i="300"/>
  <c r="E147" i="305"/>
  <c r="E155" i="305" s="1"/>
  <c r="E141" i="305"/>
  <c r="E134" i="305"/>
  <c r="E130" i="305"/>
  <c r="E115" i="305"/>
  <c r="E94" i="305"/>
  <c r="E83" i="305"/>
  <c r="E79" i="305"/>
  <c r="E76" i="305"/>
  <c r="E71" i="305"/>
  <c r="E67" i="305"/>
  <c r="E61" i="305"/>
  <c r="E56" i="305"/>
  <c r="E50" i="305"/>
  <c r="E38" i="305"/>
  <c r="E30" i="305"/>
  <c r="E23" i="305"/>
  <c r="E50" i="309"/>
  <c r="E50" i="313"/>
  <c r="E44" i="309"/>
  <c r="E44" i="313"/>
  <c r="E38" i="309"/>
  <c r="E38" i="313"/>
  <c r="E31" i="309"/>
  <c r="E31" i="313"/>
  <c r="E26" i="309"/>
  <c r="E26" i="313"/>
  <c r="E20" i="309"/>
  <c r="E20" i="313"/>
  <c r="E8" i="309"/>
  <c r="E8" i="313"/>
  <c r="F25" i="303"/>
  <c r="F25" i="302"/>
  <c r="C4" i="299"/>
  <c r="C4" i="300" s="1"/>
  <c r="G4" i="300" s="1"/>
  <c r="C38" i="301"/>
  <c r="C37" i="301"/>
  <c r="C36" i="301"/>
  <c r="C32" i="301"/>
  <c r="C31" i="301"/>
  <c r="C30" i="301"/>
  <c r="C26" i="301"/>
  <c r="C25" i="301"/>
  <c r="C24" i="301"/>
  <c r="C20" i="301"/>
  <c r="C19" i="301"/>
  <c r="C18" i="301"/>
  <c r="C14" i="301"/>
  <c r="C13" i="301"/>
  <c r="C12" i="301"/>
  <c r="C8" i="301"/>
  <c r="C7" i="301"/>
  <c r="A38" i="301"/>
  <c r="A37" i="301"/>
  <c r="A36" i="301"/>
  <c r="A32" i="301"/>
  <c r="A31" i="301"/>
  <c r="A30" i="301"/>
  <c r="A26" i="301"/>
  <c r="A25" i="301"/>
  <c r="A24" i="301"/>
  <c r="A20" i="301"/>
  <c r="A19" i="301"/>
  <c r="A18" i="301"/>
  <c r="A14" i="301"/>
  <c r="A13" i="301"/>
  <c r="A12" i="301"/>
  <c r="A8" i="301"/>
  <c r="A7" i="301"/>
  <c r="C6" i="301"/>
  <c r="A6" i="301"/>
  <c r="C101" i="544"/>
  <c r="D101" i="544"/>
  <c r="E101" i="544"/>
  <c r="F101" i="544"/>
  <c r="G101" i="544"/>
  <c r="H101" i="544"/>
  <c r="I101" i="544"/>
  <c r="J101" i="544"/>
  <c r="B101" i="544"/>
  <c r="A101" i="544"/>
  <c r="K98" i="544"/>
  <c r="K169" i="544" s="1"/>
  <c r="J165" i="544"/>
  <c r="K100" i="544"/>
  <c r="K171" i="544"/>
  <c r="J100" i="544"/>
  <c r="J171" i="544" s="1"/>
  <c r="I100" i="544"/>
  <c r="I171" i="544"/>
  <c r="H100" i="544"/>
  <c r="H171" i="544" s="1"/>
  <c r="G100" i="544"/>
  <c r="G171" i="544"/>
  <c r="F100" i="544"/>
  <c r="F171" i="544" s="1"/>
  <c r="J96" i="544"/>
  <c r="E100" i="544"/>
  <c r="E171" i="544" s="1"/>
  <c r="D100" i="544"/>
  <c r="D171" i="544" s="1"/>
  <c r="C100" i="544"/>
  <c r="C171" i="544" s="1"/>
  <c r="C24" i="299"/>
  <c r="C29" i="299" s="1"/>
  <c r="C9" i="293"/>
  <c r="B18" i="292"/>
  <c r="B2" i="309"/>
  <c r="B2" i="313"/>
  <c r="E97" i="295"/>
  <c r="E165" i="295" s="1"/>
  <c r="C8" i="293"/>
  <c r="F20" i="544"/>
  <c r="D24" i="300"/>
  <c r="D30" i="300" s="1"/>
  <c r="D31" i="300" s="1"/>
  <c r="D138" i="544"/>
  <c r="G29" i="299"/>
  <c r="A23" i="313"/>
  <c r="B41" i="313"/>
  <c r="B23" i="313"/>
  <c r="B50" i="313"/>
  <c r="B51" i="313"/>
  <c r="B39" i="313"/>
  <c r="B31" i="313"/>
  <c r="B25" i="313"/>
  <c r="B9" i="313"/>
  <c r="A18" i="313"/>
  <c r="A41" i="313"/>
  <c r="A33" i="313"/>
  <c r="A40" i="313"/>
  <c r="A34" i="313"/>
  <c r="A2" i="295"/>
  <c r="B2" i="305"/>
  <c r="B27" i="313"/>
  <c r="A55" i="313"/>
  <c r="B13" i="313"/>
  <c r="A17" i="313"/>
  <c r="A39" i="313"/>
  <c r="A31" i="313"/>
  <c r="A15" i="313"/>
  <c r="A48" i="313"/>
  <c r="B8" i="313"/>
  <c r="K139" i="544"/>
  <c r="K114" i="544"/>
  <c r="A54" i="313"/>
  <c r="A50" i="313"/>
  <c r="B32" i="313"/>
  <c r="B28" i="313"/>
  <c r="B24" i="313"/>
  <c r="B20" i="313"/>
  <c r="B16" i="313"/>
  <c r="B12" i="313"/>
  <c r="A8" i="313"/>
  <c r="B45" i="313"/>
  <c r="K160" i="544"/>
  <c r="K21" i="544"/>
  <c r="K159" i="544"/>
  <c r="K129" i="544"/>
  <c r="K132" i="544"/>
  <c r="K67" i="544"/>
  <c r="K131" i="544"/>
  <c r="K133" i="544"/>
  <c r="K72" i="544"/>
  <c r="K15" i="544"/>
  <c r="K116" i="544"/>
  <c r="K140" i="544"/>
  <c r="I138" i="544"/>
  <c r="J138" i="544"/>
  <c r="K138" i="544" s="1"/>
  <c r="B19" i="313"/>
  <c r="B29" i="313"/>
  <c r="A32" i="313"/>
  <c r="A30" i="313"/>
  <c r="A12" i="313"/>
  <c r="K130" i="544"/>
  <c r="J149" i="544"/>
  <c r="A29" i="313"/>
  <c r="A19" i="313"/>
  <c r="E134" i="544"/>
  <c r="E132" i="544"/>
  <c r="B52" i="313"/>
  <c r="B48" i="313"/>
  <c r="B44" i="313"/>
  <c r="A13" i="313"/>
  <c r="A52" i="313"/>
  <c r="B56" i="313"/>
  <c r="E25" i="303"/>
  <c r="D25" i="302"/>
  <c r="E25" i="302"/>
  <c r="A16" i="313"/>
  <c r="A25" i="313"/>
  <c r="A37" i="313"/>
  <c r="K17" i="544"/>
  <c r="A36" i="313"/>
  <c r="B26" i="313"/>
  <c r="A42" i="313"/>
  <c r="A22" i="313"/>
  <c r="B46" i="313"/>
  <c r="A9" i="313"/>
  <c r="A28" i="313"/>
  <c r="B17" i="313"/>
  <c r="D25" i="303"/>
  <c r="B96" i="544"/>
  <c r="A26" i="313"/>
  <c r="A53" i="313"/>
  <c r="B33" i="313"/>
  <c r="B18" i="313"/>
  <c r="B14" i="313"/>
  <c r="B15" i="313"/>
  <c r="A47" i="313"/>
  <c r="B34" i="313"/>
  <c r="A14" i="313"/>
  <c r="B38" i="313"/>
  <c r="B22" i="313"/>
  <c r="B25" i="303"/>
  <c r="B7" i="293"/>
  <c r="J1" i="299" s="1"/>
  <c r="B35" i="313"/>
  <c r="A44" i="313"/>
  <c r="B11" i="313"/>
  <c r="A46" i="313"/>
  <c r="B40" i="313"/>
  <c r="B36" i="313"/>
  <c r="A49" i="313"/>
  <c r="A10" i="313"/>
  <c r="B37" i="313"/>
  <c r="B21" i="313"/>
  <c r="B10" i="313"/>
  <c r="H30" i="300"/>
  <c r="D31" i="301" s="1"/>
  <c r="D24" i="299"/>
  <c r="C24" i="300"/>
  <c r="C30" i="300"/>
  <c r="K66" i="544"/>
  <c r="D56" i="309"/>
  <c r="J102" i="544"/>
  <c r="D38" i="309"/>
  <c r="D42" i="309" s="1"/>
  <c r="D57" i="309" s="1"/>
  <c r="A35" i="313"/>
  <c r="B54" i="313"/>
  <c r="A56" i="313"/>
  <c r="B30" i="313"/>
  <c r="B55" i="313"/>
  <c r="B49" i="313"/>
  <c r="A38" i="313"/>
  <c r="A21" i="313"/>
  <c r="B42" i="313"/>
  <c r="G165" i="544"/>
  <c r="G4" i="299"/>
  <c r="H16" i="544"/>
  <c r="A45" i="313"/>
  <c r="A51" i="313"/>
  <c r="A11" i="313"/>
  <c r="A27" i="313"/>
  <c r="A24" i="313"/>
  <c r="A20" i="313"/>
  <c r="B53" i="313"/>
  <c r="B47" i="313"/>
  <c r="G30" i="300"/>
  <c r="E130" i="544"/>
  <c r="I32" i="300"/>
  <c r="I31" i="300"/>
  <c r="K85" i="544"/>
  <c r="K110" i="544"/>
  <c r="K112" i="544"/>
  <c r="K113" i="544"/>
  <c r="K119" i="544"/>
  <c r="K120" i="544"/>
  <c r="K121" i="544"/>
  <c r="K122" i="544"/>
  <c r="H133" i="544"/>
  <c r="E145" i="544"/>
  <c r="E147" i="544"/>
  <c r="J155" i="544"/>
  <c r="E113" i="544"/>
  <c r="K75" i="544"/>
  <c r="K156" i="544"/>
  <c r="G64" i="544"/>
  <c r="E160" i="544"/>
  <c r="H68" i="544"/>
  <c r="E108" i="544"/>
  <c r="H158" i="544"/>
  <c r="E56" i="309"/>
  <c r="C56" i="309"/>
  <c r="E105" i="544"/>
  <c r="E37" i="309"/>
  <c r="E42" i="309" s="1"/>
  <c r="E57" i="309" s="1"/>
  <c r="G155" i="544"/>
  <c r="E161" i="544"/>
  <c r="E157" i="544"/>
  <c r="D142" i="544"/>
  <c r="E143" i="544"/>
  <c r="E140" i="544"/>
  <c r="E141" i="544"/>
  <c r="H132" i="544"/>
  <c r="E121" i="544"/>
  <c r="H91" i="544"/>
  <c r="E86" i="544"/>
  <c r="E159" i="544"/>
  <c r="H153" i="544"/>
  <c r="E144" i="544"/>
  <c r="H146" i="544"/>
  <c r="E122" i="544"/>
  <c r="H115" i="544"/>
  <c r="E110" i="544"/>
  <c r="E30" i="300"/>
  <c r="E31" i="300" s="1"/>
  <c r="E32" i="300"/>
  <c r="E29" i="299"/>
  <c r="D19" i="301" s="1"/>
  <c r="E66" i="544"/>
  <c r="E62" i="544"/>
  <c r="E60" i="544"/>
  <c r="H151" i="544"/>
  <c r="H159" i="544"/>
  <c r="E154" i="544"/>
  <c r="E133" i="544"/>
  <c r="H117" i="544"/>
  <c r="G87" i="544"/>
  <c r="B31" i="301"/>
  <c r="E136" i="544"/>
  <c r="H114" i="544"/>
  <c r="H77" i="544"/>
  <c r="H154" i="544"/>
  <c r="E129" i="544"/>
  <c r="E17" i="544"/>
  <c r="D6" i="301"/>
  <c r="H118" i="544"/>
  <c r="H111" i="544"/>
  <c r="D87" i="544"/>
  <c r="E75" i="544"/>
  <c r="E118" i="544"/>
  <c r="B1" i="309"/>
  <c r="H17" i="300"/>
  <c r="D32" i="300" s="1"/>
  <c r="D29" i="299"/>
  <c r="C31" i="300"/>
  <c r="B25" i="302"/>
  <c r="G17" i="300"/>
  <c r="D56" i="313"/>
  <c r="C56" i="313"/>
  <c r="B30" i="301"/>
  <c r="F5" i="302"/>
  <c r="D155" i="305"/>
  <c r="D156" i="305"/>
  <c r="D157" i="305" s="1"/>
  <c r="E65" i="544"/>
  <c r="G18" i="299"/>
  <c r="C31" i="299"/>
  <c r="I30" i="299"/>
  <c r="A82" i="544"/>
  <c r="A83" i="544" s="1"/>
  <c r="A84" i="544"/>
  <c r="A85" i="544" s="1"/>
  <c r="A86" i="544" s="1"/>
  <c r="A87" i="544" s="1"/>
  <c r="A88" i="544" s="1"/>
  <c r="A89" i="544" s="1"/>
  <c r="A90" i="544" s="1"/>
  <c r="A91" i="544" s="1"/>
  <c r="A92" i="544" s="1"/>
  <c r="A93" i="544" s="1"/>
  <c r="A94" i="544" s="1"/>
  <c r="A95" i="544" s="1"/>
  <c r="A96" i="544" s="1"/>
  <c r="A97" i="544" s="1"/>
  <c r="B34" i="292"/>
  <c r="E103" i="544"/>
  <c r="G138" i="544"/>
  <c r="G70" i="544"/>
  <c r="F149" i="544"/>
  <c r="H150" i="544"/>
  <c r="G53" i="544"/>
  <c r="D12" i="301"/>
  <c r="G31" i="299"/>
  <c r="B1" i="302"/>
  <c r="B1" i="303"/>
  <c r="J74" i="544"/>
  <c r="E4" i="300"/>
  <c r="I4" i="300" s="1"/>
  <c r="C25" i="292"/>
  <c r="C26" i="292"/>
  <c r="C21" i="292"/>
  <c r="C30" i="292"/>
  <c r="C34" i="292"/>
  <c r="C27" i="292"/>
  <c r="C29" i="292"/>
  <c r="C33" i="292"/>
  <c r="C32" i="292"/>
  <c r="C20" i="292"/>
  <c r="C22" i="292"/>
  <c r="C28" i="292"/>
  <c r="C31" i="292"/>
  <c r="E33" i="300"/>
  <c r="E30" i="299"/>
  <c r="I32" i="299" s="1"/>
  <c r="E32" i="299"/>
  <c r="I31" i="299"/>
  <c r="E31" i="299"/>
  <c r="E161" i="295"/>
  <c r="B37" i="301" s="1"/>
  <c r="K62" i="544"/>
  <c r="I41" i="544"/>
  <c r="K40" i="544"/>
  <c r="E69" i="295"/>
  <c r="K24" i="544"/>
  <c r="E136" i="295"/>
  <c r="B36" i="301" s="1"/>
  <c r="K109" i="544"/>
  <c r="K108" i="544"/>
  <c r="K107" i="544"/>
  <c r="E129" i="305"/>
  <c r="J59" i="544"/>
  <c r="I102" i="544"/>
  <c r="I53" i="544"/>
  <c r="K53" i="544" s="1"/>
  <c r="K55" i="544"/>
  <c r="K56" i="544"/>
  <c r="K57" i="544"/>
  <c r="K58" i="544"/>
  <c r="I123" i="544"/>
  <c r="F53" i="544"/>
  <c r="H125" i="544"/>
  <c r="G123" i="544"/>
  <c r="D79" i="544"/>
  <c r="H25" i="544"/>
  <c r="H149" i="544"/>
  <c r="H161" i="544"/>
  <c r="H122" i="544"/>
  <c r="H17" i="544"/>
  <c r="H22" i="544"/>
  <c r="H29" i="544"/>
  <c r="H89" i="544"/>
  <c r="H43" i="544"/>
  <c r="H48" i="544"/>
  <c r="H49" i="544"/>
  <c r="H50" i="544"/>
  <c r="H61" i="544"/>
  <c r="H73" i="544"/>
  <c r="H19" i="544"/>
  <c r="H47" i="544"/>
  <c r="H92" i="544"/>
  <c r="H44" i="544"/>
  <c r="H45" i="544"/>
  <c r="H46" i="544"/>
  <c r="G59" i="544"/>
  <c r="H59" i="544" s="1"/>
  <c r="H76" i="544"/>
  <c r="H85" i="544"/>
  <c r="H93" i="544"/>
  <c r="H23" i="544"/>
  <c r="H51" i="544"/>
  <c r="D107" i="544"/>
  <c r="C94" i="305"/>
  <c r="C129" i="305" s="1"/>
  <c r="D120" i="544"/>
  <c r="E120" i="544"/>
  <c r="E131" i="544"/>
  <c r="D155" i="544"/>
  <c r="E155" i="544" s="1"/>
  <c r="E93" i="544"/>
  <c r="D64" i="544"/>
  <c r="E64" i="544" s="1"/>
  <c r="D74" i="544"/>
  <c r="E25" i="544"/>
  <c r="E88" i="544"/>
  <c r="E92" i="544"/>
  <c r="E15" i="544"/>
  <c r="E16" i="544"/>
  <c r="D59" i="544"/>
  <c r="E63" i="544"/>
  <c r="E91" i="544"/>
  <c r="H30" i="299"/>
  <c r="G30" i="299"/>
  <c r="H141" i="544"/>
  <c r="H157" i="544"/>
  <c r="F142" i="544"/>
  <c r="F123" i="544"/>
  <c r="H129" i="544"/>
  <c r="H130" i="544"/>
  <c r="H131" i="544"/>
  <c r="H135" i="544"/>
  <c r="K143" i="544"/>
  <c r="K128" i="544"/>
  <c r="I155" i="544"/>
  <c r="K155" i="544"/>
  <c r="K124" i="544"/>
  <c r="K125" i="544"/>
  <c r="K126" i="544"/>
  <c r="K127" i="544"/>
  <c r="K158" i="544"/>
  <c r="K161" i="544"/>
  <c r="H81" i="544"/>
  <c r="H60" i="544"/>
  <c r="F41" i="544"/>
  <c r="F27" i="544"/>
  <c r="H27" i="544" s="1"/>
  <c r="H65" i="544"/>
  <c r="F75" i="544"/>
  <c r="F74" i="544" s="1"/>
  <c r="F88" i="544"/>
  <c r="H88" i="544" s="1"/>
  <c r="H34" i="544"/>
  <c r="H21" i="544"/>
  <c r="H30" i="544"/>
  <c r="H31" i="544"/>
  <c r="H32" i="544"/>
  <c r="H63" i="544"/>
  <c r="F71" i="544"/>
  <c r="H71" i="544" s="1"/>
  <c r="F84" i="544"/>
  <c r="H84" i="544" s="1"/>
  <c r="H103" i="544"/>
  <c r="H106" i="544"/>
  <c r="H107" i="544"/>
  <c r="C128" i="544"/>
  <c r="E156" i="544"/>
  <c r="E124" i="544"/>
  <c r="E125" i="544"/>
  <c r="E126" i="544"/>
  <c r="E127" i="544"/>
  <c r="C20" i="295"/>
  <c r="C11" i="295" s="1"/>
  <c r="C69" i="295"/>
  <c r="B6" i="301" s="1"/>
  <c r="E6" i="301" s="1"/>
  <c r="C74" i="544"/>
  <c r="E44" i="544"/>
  <c r="E45" i="544"/>
  <c r="E46" i="544"/>
  <c r="E47" i="544"/>
  <c r="E48" i="544"/>
  <c r="E49" i="544"/>
  <c r="E50" i="544"/>
  <c r="E51" i="544"/>
  <c r="C53" i="544"/>
  <c r="C41" i="544"/>
  <c r="C83" i="544"/>
  <c r="C94" i="544" s="1"/>
  <c r="C68" i="544"/>
  <c r="E68" i="544" s="1"/>
  <c r="E52" i="544"/>
  <c r="E57" i="544"/>
  <c r="C19" i="544"/>
  <c r="E19" i="544" s="1"/>
  <c r="E55" i="544"/>
  <c r="C87" i="544"/>
  <c r="E87" i="544" s="1"/>
  <c r="E71" i="544"/>
  <c r="E22" i="544"/>
  <c r="E23" i="544"/>
  <c r="E27" i="544"/>
  <c r="E28" i="544"/>
  <c r="E79" i="544"/>
  <c r="E54" i="544"/>
  <c r="E24" i="544"/>
  <c r="E56" i="544"/>
  <c r="E58" i="544"/>
  <c r="E31" i="544"/>
  <c r="E81" i="544"/>
  <c r="H24" i="544"/>
  <c r="K30" i="544"/>
  <c r="K31" i="544"/>
  <c r="H56" i="544"/>
  <c r="H57" i="544"/>
  <c r="K103" i="544"/>
  <c r="K105" i="544"/>
  <c r="H127" i="544"/>
  <c r="H54" i="544"/>
  <c r="H124" i="544"/>
  <c r="H28" i="544"/>
  <c r="D26" i="544"/>
  <c r="H79" i="544"/>
  <c r="H55" i="544"/>
  <c r="K104" i="544"/>
  <c r="K106" i="544"/>
  <c r="D53" i="544"/>
  <c r="E53" i="544" s="1"/>
  <c r="H80" i="544"/>
  <c r="D123" i="544"/>
  <c r="D137" i="544" s="1"/>
  <c r="H41" i="544"/>
  <c r="F11" i="544"/>
  <c r="K32" i="544"/>
  <c r="H58" i="544"/>
  <c r="H126" i="544"/>
  <c r="H128" i="544"/>
  <c r="H42" i="544"/>
  <c r="K43" i="544"/>
  <c r="K44" i="544"/>
  <c r="J123" i="544"/>
  <c r="K81" i="544"/>
  <c r="K45" i="544"/>
  <c r="K46" i="544"/>
  <c r="K47" i="544"/>
  <c r="K48" i="544"/>
  <c r="K49" i="544"/>
  <c r="K50" i="544"/>
  <c r="K51" i="544"/>
  <c r="K52" i="544"/>
  <c r="H104" i="544"/>
  <c r="D31" i="299"/>
  <c r="H31" i="299"/>
  <c r="E12" i="544"/>
  <c r="I20" i="544"/>
  <c r="I11" i="544" s="1"/>
  <c r="K12" i="544"/>
  <c r="E13" i="544"/>
  <c r="D20" i="544"/>
  <c r="D11" i="544" s="1"/>
  <c r="J20" i="544"/>
  <c r="K13" i="544"/>
  <c r="G20" i="544"/>
  <c r="H20" i="544" s="1"/>
  <c r="H15" i="544"/>
  <c r="I33" i="544"/>
  <c r="K34" i="544"/>
  <c r="E35" i="544"/>
  <c r="C33" i="544"/>
  <c r="J41" i="544"/>
  <c r="K41" i="544" s="1"/>
  <c r="K42" i="544"/>
  <c r="B32" i="301"/>
  <c r="K54" i="544"/>
  <c r="G74" i="544"/>
  <c r="H74" i="544" s="1"/>
  <c r="H78" i="544"/>
  <c r="K27" i="544"/>
  <c r="K35" i="544"/>
  <c r="K38" i="544"/>
  <c r="J33" i="544"/>
  <c r="I74" i="544"/>
  <c r="K77" i="544"/>
  <c r="D37" i="309"/>
  <c r="J26" i="544"/>
  <c r="E56" i="313"/>
  <c r="E93" i="295"/>
  <c r="B19" i="301" s="1"/>
  <c r="K71" i="544"/>
  <c r="J70" i="544"/>
  <c r="I79" i="544"/>
  <c r="K79" i="544" s="1"/>
  <c r="K80" i="544"/>
  <c r="K84" i="544"/>
  <c r="I83" i="544"/>
  <c r="K123" i="544"/>
  <c r="F70" i="544"/>
  <c r="F26" i="544"/>
  <c r="H26" i="544" s="1"/>
  <c r="H75" i="544"/>
  <c r="B14" i="301"/>
  <c r="B12" i="301"/>
  <c r="E12" i="301" s="1"/>
  <c r="D166" i="295"/>
  <c r="F172" i="544" s="1"/>
  <c r="F83" i="544"/>
  <c r="D167" i="295"/>
  <c r="F173" i="544" s="1"/>
  <c r="B13" i="301"/>
  <c r="C20" i="544"/>
  <c r="E20" i="544" s="1"/>
  <c r="E19" i="301"/>
  <c r="G11" i="544"/>
  <c r="H11" i="544" s="1"/>
  <c r="K20" i="544"/>
  <c r="J11" i="544"/>
  <c r="D163" i="295"/>
  <c r="H70" i="544"/>
  <c r="E4" i="305"/>
  <c r="C11" i="292"/>
  <c r="C10" i="292"/>
  <c r="C12" i="292"/>
  <c r="C15" i="292"/>
  <c r="C14" i="292"/>
  <c r="C8" i="292"/>
  <c r="C35" i="292"/>
  <c r="C17" i="292"/>
  <c r="C23" i="292"/>
  <c r="C16" i="292"/>
  <c r="C9" i="292"/>
  <c r="C24" i="292"/>
  <c r="C18" i="292"/>
  <c r="C13" i="292"/>
  <c r="C19" i="292"/>
  <c r="C7" i="292"/>
  <c r="E128" i="544" l="1"/>
  <c r="C123" i="544"/>
  <c r="E123" i="544" s="1"/>
  <c r="C32" i="300"/>
  <c r="D24" i="301"/>
  <c r="B18" i="301"/>
  <c r="E18" i="301" s="1"/>
  <c r="E166" i="295"/>
  <c r="I172" i="544" s="1"/>
  <c r="E37" i="301"/>
  <c r="E13" i="301"/>
  <c r="G34" i="300"/>
  <c r="D25" i="301"/>
  <c r="E25" i="301" s="1"/>
  <c r="G31" i="300"/>
  <c r="K102" i="544"/>
  <c r="J137" i="544"/>
  <c r="D26" i="301"/>
  <c r="K11" i="544"/>
  <c r="D13" i="301"/>
  <c r="D30" i="299"/>
  <c r="D14" i="301" s="1"/>
  <c r="E14" i="301" s="1"/>
  <c r="E94" i="295"/>
  <c r="C11" i="544"/>
  <c r="E11" i="544" s="1"/>
  <c r="E59" i="544"/>
  <c r="K74" i="544"/>
  <c r="E36" i="301"/>
  <c r="K26" i="544"/>
  <c r="F137" i="544"/>
  <c r="E138" i="544"/>
  <c r="D73" i="554"/>
  <c r="D19" i="430"/>
  <c r="E33" i="544"/>
  <c r="E74" i="544"/>
  <c r="H123" i="544"/>
  <c r="E156" i="305"/>
  <c r="B1" i="295"/>
  <c r="J1" i="300"/>
  <c r="D38" i="301"/>
  <c r="A6" i="294"/>
  <c r="B1" i="313"/>
  <c r="I33" i="300"/>
  <c r="E66" i="305"/>
  <c r="D37" i="301"/>
  <c r="K18" i="544"/>
  <c r="E21" i="544"/>
  <c r="E34" i="544"/>
  <c r="E37" i="544"/>
  <c r="E89" i="544"/>
  <c r="K92" i="544"/>
  <c r="H109" i="544"/>
  <c r="H112" i="544"/>
  <c r="H113" i="544"/>
  <c r="H120" i="544"/>
  <c r="H121" i="544"/>
  <c r="K134" i="544"/>
  <c r="E135" i="544"/>
  <c r="K135" i="544"/>
  <c r="K141" i="544"/>
  <c r="E148" i="544"/>
  <c r="D149" i="544"/>
  <c r="D163" i="544" s="1"/>
  <c r="D164" i="544" s="1"/>
  <c r="D166" i="544" s="1"/>
  <c r="H162" i="544"/>
  <c r="C93" i="295"/>
  <c r="C37" i="309"/>
  <c r="C42" i="309" s="1"/>
  <c r="C57" i="309" s="1"/>
  <c r="D37" i="313"/>
  <c r="D42" i="313" s="1"/>
  <c r="D57" i="313" s="1"/>
  <c r="E90" i="305"/>
  <c r="H12" i="544"/>
  <c r="H37" i="544"/>
  <c r="E40" i="544"/>
  <c r="I59" i="544"/>
  <c r="K59" i="544" s="1"/>
  <c r="E67" i="544"/>
  <c r="D83" i="544"/>
  <c r="E83" i="544" s="1"/>
  <c r="H90" i="544"/>
  <c r="H116" i="544"/>
  <c r="H119" i="544"/>
  <c r="H140" i="544"/>
  <c r="H147" i="544"/>
  <c r="E158" i="544"/>
  <c r="K28" i="544"/>
  <c r="C90" i="305"/>
  <c r="C91" i="305" s="1"/>
  <c r="C37" i="313"/>
  <c r="C42" i="313" s="1"/>
  <c r="C57" i="313" s="1"/>
  <c r="C73" i="554"/>
  <c r="C6" i="429"/>
  <c r="C38" i="429" s="1"/>
  <c r="E99" i="295"/>
  <c r="H32" i="300"/>
  <c r="E31" i="301"/>
  <c r="H39" i="544"/>
  <c r="H72" i="544"/>
  <c r="E77" i="544"/>
  <c r="E85" i="544"/>
  <c r="I87" i="544"/>
  <c r="E117" i="544"/>
  <c r="K117" i="544"/>
  <c r="K118" i="544"/>
  <c r="E119" i="544"/>
  <c r="K145" i="544"/>
  <c r="C155" i="305"/>
  <c r="C156" i="305" s="1"/>
  <c r="C157" i="305" s="1"/>
  <c r="D38" i="429"/>
  <c r="E11" i="429"/>
  <c r="E6" i="429" s="1"/>
  <c r="E7" i="554"/>
  <c r="E73" i="554" s="1"/>
  <c r="G137" i="544"/>
  <c r="H137" i="544" s="1"/>
  <c r="H102" i="544"/>
  <c r="K137" i="544"/>
  <c r="E163" i="295"/>
  <c r="I2" i="299"/>
  <c r="I2" i="300" s="1"/>
  <c r="C33" i="300"/>
  <c r="G33" i="300"/>
  <c r="B20" i="301"/>
  <c r="J69" i="544"/>
  <c r="E167" i="295"/>
  <c r="I173" i="544" s="1"/>
  <c r="E4" i="299"/>
  <c r="I4" i="299" s="1"/>
  <c r="E5" i="309"/>
  <c r="E9" i="295"/>
  <c r="F5" i="303"/>
  <c r="E5" i="313"/>
  <c r="E5" i="305"/>
  <c r="C30" i="299"/>
  <c r="D7" i="301"/>
  <c r="K29" i="544"/>
  <c r="C101" i="295"/>
  <c r="C136" i="295" s="1"/>
  <c r="C107" i="544"/>
  <c r="C102" i="544" s="1"/>
  <c r="F87" i="544"/>
  <c r="F94" i="544" s="1"/>
  <c r="E162" i="295"/>
  <c r="B38" i="301" s="1"/>
  <c r="K33" i="544"/>
  <c r="C166" i="295"/>
  <c r="C172" i="544" s="1"/>
  <c r="I137" i="544"/>
  <c r="E91" i="305"/>
  <c r="E157" i="305" s="1"/>
  <c r="K88" i="544"/>
  <c r="J87" i="544"/>
  <c r="G94" i="544"/>
  <c r="D20" i="301"/>
  <c r="H53" i="544"/>
  <c r="H31" i="300"/>
  <c r="E139" i="544"/>
  <c r="H36" i="544"/>
  <c r="G33" i="544"/>
  <c r="H33" i="544" s="1"/>
  <c r="H66" i="544"/>
  <c r="F64" i="544"/>
  <c r="H83" i="544"/>
  <c r="E146" i="544"/>
  <c r="C142" i="544"/>
  <c r="E142" i="544" s="1"/>
  <c r="E150" i="544"/>
  <c r="C149" i="544"/>
  <c r="E149" i="544" s="1"/>
  <c r="K150" i="544"/>
  <c r="I149" i="544"/>
  <c r="K149" i="544" s="1"/>
  <c r="D30" i="301"/>
  <c r="E30" i="301" s="1"/>
  <c r="J163" i="544"/>
  <c r="H38" i="544"/>
  <c r="E80" i="544"/>
  <c r="J83" i="544"/>
  <c r="K86" i="544"/>
  <c r="G32" i="300"/>
  <c r="A3" i="295"/>
  <c r="A6" i="292"/>
  <c r="H13" i="544"/>
  <c r="H14" i="544"/>
  <c r="K19" i="544"/>
  <c r="E36" i="544"/>
  <c r="I64" i="544"/>
  <c r="K65" i="544"/>
  <c r="I70" i="544"/>
  <c r="I94" i="544" s="1"/>
  <c r="K73" i="544"/>
  <c r="F138" i="544"/>
  <c r="H144" i="544"/>
  <c r="G142" i="544"/>
  <c r="H142" i="544" s="1"/>
  <c r="K147" i="544"/>
  <c r="J142" i="544"/>
  <c r="E162" i="544"/>
  <c r="E37" i="313"/>
  <c r="E42" i="313" s="1"/>
  <c r="E57" i="313" s="1"/>
  <c r="C26" i="544"/>
  <c r="E26" i="544" s="1"/>
  <c r="E42" i="544"/>
  <c r="D41" i="544"/>
  <c r="E41" i="544" s="1"/>
  <c r="H52" i="544"/>
  <c r="E73" i="544"/>
  <c r="D70" i="544"/>
  <c r="H86" i="544"/>
  <c r="I142" i="544"/>
  <c r="I163" i="544" s="1"/>
  <c r="I164" i="544" s="1"/>
  <c r="F155" i="544"/>
  <c r="H155" i="544" s="1"/>
  <c r="E107" i="544" l="1"/>
  <c r="K87" i="544"/>
  <c r="E38" i="301"/>
  <c r="H32" i="299"/>
  <c r="E7" i="301"/>
  <c r="B7" i="301"/>
  <c r="C167" i="295"/>
  <c r="C173" i="544" s="1"/>
  <c r="C94" i="295"/>
  <c r="B8" i="301" s="1"/>
  <c r="A4" i="301"/>
  <c r="D5" i="302"/>
  <c r="D5" i="303" s="1"/>
  <c r="C8" i="295"/>
  <c r="A13" i="294"/>
  <c r="A10" i="301" s="1"/>
  <c r="E5" i="302"/>
  <c r="A25" i="294"/>
  <c r="A22" i="301" s="1"/>
  <c r="E5" i="303"/>
  <c r="C98" i="295"/>
  <c r="A31" i="294"/>
  <c r="A28" i="301" s="1"/>
  <c r="C8" i="544"/>
  <c r="C99" i="544" s="1"/>
  <c r="C170" i="544" s="1"/>
  <c r="A37" i="294"/>
  <c r="A34" i="301" s="1"/>
  <c r="A19" i="294"/>
  <c r="A16" i="301" s="1"/>
  <c r="A2" i="554"/>
  <c r="B35" i="292" s="1"/>
  <c r="D32" i="299"/>
  <c r="B24" i="301"/>
  <c r="E24" i="301" s="1"/>
  <c r="C162" i="295"/>
  <c r="B10" i="292"/>
  <c r="B11" i="292"/>
  <c r="B12" i="292"/>
  <c r="B9" i="292"/>
  <c r="H94" i="544"/>
  <c r="C163" i="544"/>
  <c r="J172" i="544"/>
  <c r="K172" i="544" s="1"/>
  <c r="H87" i="544"/>
  <c r="C69" i="544"/>
  <c r="C95" i="544" s="1"/>
  <c r="K70" i="544"/>
  <c r="J164" i="544"/>
  <c r="K163" i="544"/>
  <c r="H33" i="300"/>
  <c r="D33" i="300"/>
  <c r="D32" i="301"/>
  <c r="E32" i="301" s="1"/>
  <c r="E70" i="544"/>
  <c r="D94" i="544"/>
  <c r="K83" i="544"/>
  <c r="J94" i="544"/>
  <c r="G163" i="544"/>
  <c r="G173" i="544" s="1"/>
  <c r="H173" i="544" s="1"/>
  <c r="H64" i="544"/>
  <c r="F69" i="544"/>
  <c r="F95" i="544" s="1"/>
  <c r="G69" i="544"/>
  <c r="D69" i="544"/>
  <c r="K142" i="544"/>
  <c r="H138" i="544"/>
  <c r="F163" i="544"/>
  <c r="F164" i="544" s="1"/>
  <c r="K64" i="544"/>
  <c r="I69" i="544"/>
  <c r="I95" i="544" s="1"/>
  <c r="C137" i="544"/>
  <c r="E137" i="544" s="1"/>
  <c r="E102" i="544"/>
  <c r="G32" i="299"/>
  <c r="C32" i="299"/>
  <c r="D8" i="301"/>
  <c r="E8" i="301" s="1"/>
  <c r="E20" i="301"/>
  <c r="D4" i="299" l="1"/>
  <c r="H4" i="299" s="1"/>
  <c r="D4" i="300"/>
  <c r="H4" i="300" s="1"/>
  <c r="D95" i="544"/>
  <c r="D172" i="544"/>
  <c r="E172" i="544" s="1"/>
  <c r="E69" i="544"/>
  <c r="G172" i="544"/>
  <c r="H172" i="544" s="1"/>
  <c r="G95" i="544"/>
  <c r="H69" i="544"/>
  <c r="J173" i="544"/>
  <c r="K173" i="544" s="1"/>
  <c r="K94" i="544"/>
  <c r="K164" i="544"/>
  <c r="J166" i="544"/>
  <c r="K69" i="544"/>
  <c r="G164" i="544"/>
  <c r="H163" i="544"/>
  <c r="D173" i="544"/>
  <c r="E173" i="544" s="1"/>
  <c r="E94" i="544"/>
  <c r="J95" i="544"/>
  <c r="B26" i="301"/>
  <c r="E26" i="301" s="1"/>
  <c r="C163" i="295"/>
  <c r="C164" i="544"/>
  <c r="E164" i="544" s="1"/>
  <c r="E163" i="544"/>
  <c r="H164" i="544" l="1"/>
  <c r="G166" i="544"/>
  <c r="J97" i="544"/>
  <c r="K95" i="544"/>
  <c r="G97" i="544"/>
  <c r="H95" i="544"/>
  <c r="E95" i="544"/>
  <c r="D97" i="544"/>
  <c r="E167" i="544" s="1"/>
  <c r="H167" i="544" l="1"/>
</calcChain>
</file>

<file path=xl/sharedStrings.xml><?xml version="1.0" encoding="utf-8"?>
<sst xmlns="http://schemas.openxmlformats.org/spreadsheetml/2006/main" count="1293" uniqueCount="655">
  <si>
    <t>Beruházási (felhalmozási) kiadások előirányzata beruházásonként</t>
  </si>
  <si>
    <t>Felújítási kiadások előirányzata felújításonként</t>
  </si>
  <si>
    <t>Felhalmozási bevételek</t>
  </si>
  <si>
    <t>Finanszírozási kiadások</t>
  </si>
  <si>
    <t>B E V É T E L E K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</si>
  <si>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</si>
  <si>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</si>
  <si>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</si>
  <si>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</si>
  <si>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</si>
  <si>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</si>
  <si>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</si>
  <si>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</si>
  <si>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</si>
  <si>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</si>
  <si>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</si>
  <si>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</si>
  <si>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</si>
  <si>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</si>
  <si>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</si>
  <si>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</si>
  <si>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</si>
  <si>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</si>
  <si>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</si>
  <si>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</si>
  <si>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</si>
  <si>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</si>
  <si>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</si>
  <si>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</si>
  <si>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K I A D Á S O K</t>
  </si>
  <si>
    <t>Személyi  juttatások</t>
  </si>
  <si>
    <t>Összesen:</t>
  </si>
  <si>
    <t>01</t>
  </si>
  <si>
    <t>Bevételek</t>
  </si>
  <si>
    <t>Kiadások</t>
  </si>
  <si>
    <t>02</t>
  </si>
  <si>
    <t>03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</si>
  <si>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</si>
  <si>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</si>
  <si>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</si>
  <si>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</si>
  <si>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</si>
  <si>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</si>
  <si>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</si>
  <si>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</si>
  <si>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Támogatott szervezet neve</t>
  </si>
  <si>
    <t>Dologi  kiadások</t>
  </si>
  <si>
    <t>Költségvetési rendelet űrlapjainak összefüggései: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</si>
  <si>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</si>
  <si>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</si>
  <si>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</si>
  <si>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</si>
  <si>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</si>
  <si>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</si>
  <si>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</si>
  <si>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Közhatalmi bevételek</t>
  </si>
  <si>
    <t>Munkaadókat terhelő járulékok és szociális hozzájárulási adó</t>
  </si>
  <si>
    <t>Ellátottak pénzbeli juttatásai</t>
  </si>
  <si>
    <t>Egyéb működési célú kiadások</t>
  </si>
  <si>
    <t>Felújítások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</si>
  <si>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</si>
  <si>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</si>
  <si>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</si>
  <si>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</si>
  <si>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</si>
  <si>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Száma</t>
  </si>
  <si>
    <t>Közfoglalkoztatottak létszáma (fő)</t>
  </si>
  <si>
    <t>Beruházások</t>
  </si>
  <si>
    <t>Egyéb felhalmozási kiadások</t>
  </si>
  <si>
    <t xml:space="preserve">Dologi kiadások </t>
  </si>
  <si>
    <t>Kölcsön törlesztése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</si>
  <si>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</si>
  <si>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</si>
  <si>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</si>
  <si>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</si>
  <si>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</si>
  <si>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</si>
  <si>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</si>
  <si>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</si>
  <si>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</si>
  <si>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</si>
  <si>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Hiány belső finanszírozás bevételei ( 14+…+18)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</si>
  <si>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</si>
  <si>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</si>
  <si>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</si>
  <si>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</si>
  <si>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</si>
  <si>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</si>
  <si>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</si>
  <si>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</si>
  <si>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</si>
  <si>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</si>
  <si>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Gépjárműadó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</si>
  <si>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</si>
  <si>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</si>
  <si>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</si>
  <si>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</si>
  <si>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</si>
  <si>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</si>
  <si>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</si>
  <si>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</si>
  <si>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</si>
  <si>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</si>
  <si>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</si>
  <si>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</si>
  <si>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</si>
  <si>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</si>
  <si>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</si>
  <si>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garancia- és kezességvállalásból megtérülések ÁH-n kívülről</t>
  </si>
  <si>
    <t>Egyéb működési célú átvett pénzeszköz</t>
  </si>
  <si>
    <t>Felhalm. célú garancia- és kezességvállalásból megtérülések ÁH-n kívülről</t>
  </si>
  <si>
    <t>Egyéb felhalmozási célú átvett pénzeszköz</t>
  </si>
  <si>
    <t>Hosszú lejáratú  hitelek, kölcsönök felvétele</t>
  </si>
  <si>
    <t>Likviditási célú  hitelek, kölcsönök felvétele pénzügyi vállalkozástól</t>
  </si>
  <si>
    <t>Forgatási célú belföldi értékpapírok beváltása,  értékesítése</t>
  </si>
  <si>
    <t>Befektetési célú belföldi értékpapírok beváltása,  értékesítése</t>
  </si>
  <si>
    <t>Előző év költségvetési maradványának igénybevétele</t>
  </si>
  <si>
    <t>Előző év vállalkozási maradványának igénybevétele</t>
  </si>
  <si>
    <t>Államháztartáson belüli megelőlegezések</t>
  </si>
  <si>
    <t>Államháztartáson belüli megelőlegezések törlesztése</t>
  </si>
  <si>
    <t>Forgatási célú külföldi értékpapírok beváltása,  értékesítése</t>
  </si>
  <si>
    <t>Befektetési célú külföldi értékpapírok beváltása,  értékesítése</t>
  </si>
  <si>
    <t>Külföldi értékpapírok kibocsátása</t>
  </si>
  <si>
    <t>Külföldi hitelek, kölcsönök felvétele</t>
  </si>
  <si>
    <t>Adóssághoz nem kapcsolódó származékos ügyletek bevételei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</si>
  <si>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</si>
  <si>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</si>
  <si>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</si>
  <si>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</si>
  <si>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</si>
  <si>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</si>
  <si>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</si>
  <si>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</si>
  <si>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</si>
  <si>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</si>
  <si>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</si>
  <si>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</si>
  <si>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</si>
  <si>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</si>
  <si>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</si>
  <si>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</si>
  <si>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</si>
  <si>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Működési célú támogatások államháztartáson belülről</t>
  </si>
  <si>
    <t>Működési célú átvett pénzeszközök</t>
  </si>
  <si>
    <t>Hiány belső finanszírozásának bevételei (15.+…+18. )</t>
  </si>
  <si>
    <t>Likviditási célú hitelek törlesztése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</si>
  <si>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</si>
  <si>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</si>
  <si>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</si>
  <si>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</si>
  <si>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</si>
  <si>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1.-ből EU-s forrásból megvalósuló beruházás</t>
  </si>
  <si>
    <t>3.-ból EU-s forrásból megvalósuló felújítás</t>
  </si>
  <si>
    <t>Pénzügyi lízing kiadásai</t>
  </si>
  <si>
    <t>BEVÉTEL ÖSSZESEN (12+25)</t>
  </si>
  <si>
    <t>KIADÁSOK ÖSSZESEN (12+25)</t>
  </si>
  <si>
    <t>Összes bevétel, kiadás</t>
  </si>
  <si>
    <t>Kiszámlázott általános forgalmi adó</t>
  </si>
  <si>
    <t>Általános forgalmi adó visszatérülése</t>
  </si>
  <si>
    <t>Felhalmozási célú átvett pénzeszközök</t>
  </si>
  <si>
    <t>Irányító szervi (önkormányzati) támogatás (intézményfinanszírozás)</t>
  </si>
  <si>
    <t>Önként vállalt feladatok bevételei, kiadásai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</si>
  <si>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</si>
  <si>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</si>
  <si>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</si>
  <si>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</si>
  <si>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</si>
  <si>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</si>
  <si>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</si>
  <si>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 xml:space="preserve">Működési célú kvi támogatások és kiegészítő támogatások </t>
  </si>
  <si>
    <t>Elszámolásból származó bevételek</t>
  </si>
  <si>
    <t>Biztosító által fizetett kártérítés</t>
  </si>
  <si>
    <t xml:space="preserve">   - Törvényi előíráson alapuló befizetések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</si>
  <si>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</si>
  <si>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</si>
  <si>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</si>
  <si>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</si>
  <si>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</si>
  <si>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</si>
  <si>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</si>
  <si>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</si>
  <si>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</si>
  <si>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</si>
  <si>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>Külföldi értékpapírok beváltása</t>
  </si>
  <si>
    <t>Pénzeszközök lekötött betétként elhelyezése</t>
  </si>
  <si>
    <t>Befektetési célú külföldi értékpapírok vásárlása</t>
  </si>
  <si>
    <t>Hitelek, kölcsönök törlesztése külföldi pénzintézeteknek</t>
  </si>
  <si>
    <t>Adóssághoz nem kapcsolódó származékos ügyletek</t>
  </si>
  <si>
    <t>Váltókiadások</t>
  </si>
  <si>
    <t>Váltóbevételek</t>
  </si>
  <si>
    <t>A</t>
  </si>
  <si>
    <t>B</t>
  </si>
  <si>
    <t>C</t>
  </si>
  <si>
    <t>E</t>
  </si>
  <si>
    <t>D</t>
  </si>
  <si>
    <t>F</t>
  </si>
  <si>
    <t>G</t>
  </si>
  <si>
    <t>H</t>
  </si>
  <si>
    <t>Hitelek, kölcsönök törlesztése külföldi kormányoknak nemz. szervezeteknek</t>
  </si>
  <si>
    <t>Éves tervezett létszám előirányzat (fő)</t>
  </si>
  <si>
    <t>Központi, irányító szervi támogatás</t>
  </si>
  <si>
    <t>Építményadó</t>
  </si>
  <si>
    <t>Iparűzési adó</t>
  </si>
  <si>
    <t>Kamatbevételek és más nyereségjellegű bevételek</t>
  </si>
  <si>
    <t>Kiemelt előirányzat, előirányzat megnevezése</t>
  </si>
  <si>
    <t>Forintban!</t>
  </si>
  <si>
    <t>Bruttó  hiány:</t>
  </si>
  <si>
    <t>Bruttó  többlet:</t>
  </si>
  <si>
    <t>Éven belüli lejáratú belföldi értékpapírok kibocsátása</t>
  </si>
  <si>
    <t>Éven túli lejáratú belföldi értékpapírok kibocsátása</t>
  </si>
  <si>
    <t>Lekötött betétek megszüntetése</t>
  </si>
  <si>
    <t>Egyéb felhalmozási célú kiadások</t>
  </si>
  <si>
    <t>Tartalomjegyzék</t>
  </si>
  <si>
    <t>Ugrás</t>
  </si>
  <si>
    <t>ALAPADATOK</t>
  </si>
  <si>
    <t>……………………. Polgármesteri /Közös Önkormányzati Hivatal</t>
  </si>
  <si>
    <t>1. költségvetési szerv neve</t>
  </si>
  <si>
    <t>2. költségvetési szerv neve</t>
  </si>
  <si>
    <t>3. költségvetési szerv neve</t>
  </si>
  <si>
    <t>4. költségvetési szerv neve</t>
  </si>
  <si>
    <t>5. költségvetési szerv neve</t>
  </si>
  <si>
    <t>6. költségvetési szerv neve</t>
  </si>
  <si>
    <t>7. költségvetési szerv neve</t>
  </si>
  <si>
    <t>8. költségvetési szerv neve</t>
  </si>
  <si>
    <t>10. költségvetési szerv neve</t>
  </si>
  <si>
    <t>2 kvi név</t>
  </si>
  <si>
    <t>3 kvi név</t>
  </si>
  <si>
    <t>4 kvi név</t>
  </si>
  <si>
    <t>5 kvi név</t>
  </si>
  <si>
    <t>6 kvi név</t>
  </si>
  <si>
    <t>7 kvi név</t>
  </si>
  <si>
    <t>8 kvi név</t>
  </si>
  <si>
    <t>9 kvi név</t>
  </si>
  <si>
    <t>10 kvi név</t>
  </si>
  <si>
    <t>10</t>
  </si>
  <si>
    <t>11</t>
  </si>
  <si>
    <t>12</t>
  </si>
  <si>
    <t>A dokumentációs rendszerben található táblázatok listája</t>
  </si>
  <si>
    <t>Dokumentum neve</t>
  </si>
  <si>
    <t>Alapadatok</t>
  </si>
  <si>
    <t>Adatok megadása</t>
  </si>
  <si>
    <t>Összefüggések</t>
  </si>
  <si>
    <t xml:space="preserve">1.1. melléklet </t>
  </si>
  <si>
    <t>1.2. melléklet</t>
  </si>
  <si>
    <t>1.3. melléklet</t>
  </si>
  <si>
    <t>1.4. melléklet</t>
  </si>
  <si>
    <t>2.1. melléklet</t>
  </si>
  <si>
    <t>Működési célú bevételek, kiadások mérlege</t>
  </si>
  <si>
    <t>2.2. melléklet</t>
  </si>
  <si>
    <t>Felhalmozási célú bevételek, kiadások mérlege</t>
  </si>
  <si>
    <t>Ellenőrző lista</t>
  </si>
  <si>
    <t>Ellenőrzés az 1-es és 2.1., 2.2. mellékletek adati esetében</t>
  </si>
  <si>
    <t>3. melléklet</t>
  </si>
  <si>
    <t>4. melléklet</t>
  </si>
  <si>
    <t>5. melléklet</t>
  </si>
  <si>
    <t>7. melléklet</t>
  </si>
  <si>
    <t>8. melléklet</t>
  </si>
  <si>
    <t>a</t>
  </si>
  <si>
    <t>Eredeti
előirányzat</t>
  </si>
  <si>
    <t>I</t>
  </si>
  <si>
    <t>Kiadási jogcím</t>
  </si>
  <si>
    <t xml:space="preserve">F </t>
  </si>
  <si>
    <t>Táblázatok adatainak összefüggései</t>
  </si>
  <si>
    <t>6.1. melléklet</t>
  </si>
  <si>
    <t>Összes  bevétel, kiadás</t>
  </si>
  <si>
    <t>6.1.1. melléklet</t>
  </si>
  <si>
    <t>Kötelező feladtok bevételei, kiadásai</t>
  </si>
  <si>
    <t>6.1.2. melléklet</t>
  </si>
  <si>
    <t>6.1.3. melléklet</t>
  </si>
  <si>
    <t>Államigazgatási feladatok  bevételei, kiadásai</t>
  </si>
  <si>
    <t>6.2. melléklet</t>
  </si>
  <si>
    <t>6.3. melléklet</t>
  </si>
  <si>
    <t>6.4. melléklet</t>
  </si>
  <si>
    <t>6.5. melléklet</t>
  </si>
  <si>
    <t>6.6. melléklet</t>
  </si>
  <si>
    <t>6.7. melléklet</t>
  </si>
  <si>
    <t>6.8. melléklet</t>
  </si>
  <si>
    <t>6.9. melléklet</t>
  </si>
  <si>
    <t>6.10. melléklet</t>
  </si>
  <si>
    <t>6.11. melléklet</t>
  </si>
  <si>
    <t>6.12. melléklet</t>
  </si>
  <si>
    <t>költségvetési tájékoztatóhoz</t>
  </si>
  <si>
    <t>BEVÉTELEK, KIADÁSOK ÖSSZEVONT MÉRLEGE</t>
  </si>
  <si>
    <t xml:space="preserve"> Forintban!</t>
  </si>
  <si>
    <t>Módosított
előirányzat</t>
  </si>
  <si>
    <t>Eredeti előirányzat</t>
  </si>
  <si>
    <t>Módosított előirányzat</t>
  </si>
  <si>
    <t>Tényleges állományi létszám előirányzat (fő)</t>
  </si>
  <si>
    <t>Közfoglalkoztatottak tényleges állományi létszáma (fő)</t>
  </si>
  <si>
    <t>1 kvi név</t>
  </si>
  <si>
    <t>Telekadó</t>
  </si>
  <si>
    <t xml:space="preserve">Talajterhelési díj </t>
  </si>
  <si>
    <t>9</t>
  </si>
  <si>
    <t>2</t>
  </si>
  <si>
    <t>3</t>
  </si>
  <si>
    <t>4</t>
  </si>
  <si>
    <t>5</t>
  </si>
  <si>
    <t>6</t>
  </si>
  <si>
    <t>7</t>
  </si>
  <si>
    <t>13</t>
  </si>
  <si>
    <t>14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</si>
  <si>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</si>
  <si>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</si>
  <si>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</si>
  <si>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</si>
  <si>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</si>
  <si>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</si>
  <si>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</si>
  <si>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</si>
  <si>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</si>
  <si>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</si>
  <si>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</si>
  <si>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</si>
  <si>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</si>
  <si>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8</t>
  </si>
  <si>
    <t>15</t>
  </si>
  <si>
    <t>22</t>
  </si>
  <si>
    <t>30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</si>
  <si>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</si>
  <si>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</si>
  <si>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</si>
  <si>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</si>
  <si>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</si>
  <si>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</si>
  <si>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</si>
  <si>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</si>
  <si>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</si>
  <si>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</si>
  <si>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</si>
  <si>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</si>
  <si>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</si>
  <si>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</si>
  <si>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</si>
  <si>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</si>
  <si>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</si>
  <si>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</si>
  <si>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</si>
  <si>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</si>
  <si>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55</t>
  </si>
  <si>
    <t>56</t>
  </si>
  <si>
    <t>57</t>
  </si>
  <si>
    <t>58</t>
  </si>
  <si>
    <t>61</t>
  </si>
  <si>
    <t>62</t>
  </si>
  <si>
    <t>63</t>
  </si>
  <si>
    <t>65</t>
  </si>
  <si>
    <t>66</t>
  </si>
  <si>
    <t>67</t>
  </si>
  <si>
    <t>68</t>
  </si>
  <si>
    <t>70</t>
  </si>
  <si>
    <t>71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</si>
  <si>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</si>
  <si>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</si>
  <si>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</si>
  <si>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</si>
  <si>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</si>
  <si>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</si>
  <si>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</si>
  <si>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</si>
  <si>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</si>
  <si>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</si>
  <si>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</si>
  <si>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</si>
  <si>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14-ből EU-s támogatás</t>
  </si>
  <si>
    <t>Felhalmozási célú támogatások államháztartáson belülről (17+…+21)</t>
  </si>
  <si>
    <t>Közhatalmi bevételek (24+…+30)</t>
  </si>
  <si>
    <t>Működési bevételek (32+…+ 42)</t>
  </si>
  <si>
    <t>Felhalmozási bevételek (44+…+48)</t>
  </si>
  <si>
    <t>Külföldi finanszírozás bevételei (77+…+80)</t>
  </si>
  <si>
    <t>KÖLTSÉGVETÉSI ÉS FINANSZÍROZÁSI BEVÉTELEK ÖSSZESEN: (59+83)</t>
  </si>
  <si>
    <t>31</t>
  </si>
  <si>
    <t>KÖLTSÉGVETÉSI KIADÁSOK ÖSSZESEN (1+22)</t>
  </si>
  <si>
    <t>FINANSZÍROZÁSI KIADÁSOK ÖSSZESEN: (37+41+48+53+59+60)</t>
  </si>
  <si>
    <t>ELLENŐRZŐ LISTA</t>
  </si>
  <si>
    <t>Eltérés</t>
  </si>
  <si>
    <t>25-ből EU-s forrásból megvalósuló felújítás</t>
  </si>
  <si>
    <t>A 1.1. és a 9.1+…9.12. mellékletek egyezőségeinek ellenőrzéséhez</t>
  </si>
  <si>
    <t>Költségvetési hiány, többlet ( költségvetési bevételek 59. sor - költségvetési kiadások 36. sor) (+/-)</t>
  </si>
  <si>
    <t>Önkormányzat működési támogatásai (2+…+.9)</t>
  </si>
  <si>
    <t>Működési célú átvett pénzeszközök (50+ … + 52)</t>
  </si>
  <si>
    <t>Felhalmozási célú átvett pénzeszközök (55+…+57)</t>
  </si>
  <si>
    <t>KÖLTSÉGVETÉSI BEVÉTELEK ÖSSZESEN: (1+16+23+31+43+49+54)</t>
  </si>
  <si>
    <t>Hitel-, kölcsönfelvétel államháztartáson kívülről  (61+…+63)</t>
  </si>
  <si>
    <t>Belföldi értékpapírok bevételei (65 +…+ 68)</t>
  </si>
  <si>
    <t>Maradvány igénybevétele (70 + 71)</t>
  </si>
  <si>
    <t>Belföldi finanszírozás bevételei (73 + … + 75)</t>
  </si>
  <si>
    <t>FINANSZÍROZÁSI BEVÉTELEK ÖSSZESEN: (60 + 64+69+72+76+81+82)</t>
  </si>
  <si>
    <t xml:space="preserve">   - Egyéb elvonások, befizetések</t>
  </si>
  <si>
    <t xml:space="preserve">   - Tartalékok</t>
  </si>
  <si>
    <t xml:space="preserve">         - a 19-ből:             - Általános tartalék</t>
  </si>
  <si>
    <t>Hitel-, kölcsöntörlesztés államháztartáson kívülre (38+ … + 40)</t>
  </si>
  <si>
    <t>Belföldi értékpapírok kiadásai (42+ … + 47)</t>
  </si>
  <si>
    <t>Belföldi finanszírozás kiadásai (49+ … + 52)</t>
  </si>
  <si>
    <t>Külföldi finanszírozás kiadásai (54+ … + 58)</t>
  </si>
  <si>
    <t>KIADÁSOK ÖSSZESEN: (36.+61)</t>
  </si>
  <si>
    <t>1</t>
  </si>
  <si>
    <t>Önkormányzatok gyermekétkeztetési feladatainak támogatása</t>
  </si>
  <si>
    <t>Működési bevételek (2+…+12)</t>
  </si>
  <si>
    <t xml:space="preserve">  16-ból EU támogatás</t>
  </si>
  <si>
    <t>Felhalmozási célú támogatások államháztartáson belülről (20+…+22)</t>
  </si>
  <si>
    <t>Működési célú támogatások államháztartáson belülről (14+…+16)</t>
  </si>
  <si>
    <t>Felhalmozási bevételek (25+…+27)</t>
  </si>
  <si>
    <t>Költségvetési bevételek összesen (1+13+18+19+24+28+29)</t>
  </si>
  <si>
    <t>Finanszírozási bevételek (32+…+34)</t>
  </si>
  <si>
    <t>BEVÉTELEK ÖSSZESEN: (30+31)</t>
  </si>
  <si>
    <t>Működési költségvetés kiadásai (2+…+6)</t>
  </si>
  <si>
    <t>Felhalmozási költségvetés kiadásai (8+…+10)</t>
  </si>
  <si>
    <t>KIADÁSOK ÖSSZESEN: (7+12)</t>
  </si>
  <si>
    <t>23-ból EU-s forrásból megvalósuló beruházás</t>
  </si>
  <si>
    <t>Rövid lejáratú  hitelek, kölcsönök felvétele pénzügyi vállalkozástól</t>
  </si>
  <si>
    <t xml:space="preserve">                                       - Céltartalék</t>
  </si>
  <si>
    <t>27-ből           - Garancia- és kezességvállalásból kifizetés ÁH-n belülre</t>
  </si>
  <si>
    <t xml:space="preserve">   21-ből EU-s támogatás</t>
  </si>
  <si>
    <t xml:space="preserve">  52-ből EU-s támogatás (közvetlen)</t>
  </si>
  <si>
    <t xml:space="preserve">  57-ből EU-s támogatás (közvetlen)</t>
  </si>
  <si>
    <t xml:space="preserve">   - a 6-ból:       - Előző évi elszámolásból származó befizetések</t>
  </si>
  <si>
    <t>Az 5-ből      -Tartalékok</t>
  </si>
  <si>
    <t>Költségvetési bevételek összesen (1+3+4+5+7+…+12.)</t>
  </si>
  <si>
    <t xml:space="preserve">Hiány külső finanszírozásának bevételei (20+…+21) </t>
  </si>
  <si>
    <t>Működési célú finanszírozási bevételek összesen (14+19+22+23)</t>
  </si>
  <si>
    <t>BEVÉTEL ÖSSZESEN (13+24)</t>
  </si>
  <si>
    <t>Költségvetési kiadások összesen (1+...+8+10+…12)</t>
  </si>
  <si>
    <t>Működési célú finanszírozási kiadások összesen (14+...+23)</t>
  </si>
  <si>
    <t>KIADÁSOK ÖSSZESEN (13+24)</t>
  </si>
  <si>
    <t>Költségvetési bevételek összesen: (1+3+4+6+…+11)</t>
  </si>
  <si>
    <t>Felhalmozási célú finanszírozási bevételek összesen (13+19)</t>
  </si>
  <si>
    <t>Költségvetési kiadások összesen: (1+3+5+...+11)</t>
  </si>
  <si>
    <t>Felhalmozási célú finanszírozási kiadások összesen
(13+...+24)</t>
  </si>
  <si>
    <t xml:space="preserve"> Költségvetési maradvány igénybevétele </t>
  </si>
  <si>
    <t xml:space="preserve"> Vállalkozási maradvány igénybevétele </t>
  </si>
  <si>
    <t xml:space="preserve"> Betét visszavonásából származó bevétel </t>
  </si>
  <si>
    <t xml:space="preserve">   10-ből EU-s támogatásból megvalósuló programok, projektek kiadása</t>
  </si>
  <si>
    <t xml:space="preserve">   22-ből EU-s támogatás</t>
  </si>
  <si>
    <t>1.-ból EU-s támogatás</t>
  </si>
  <si>
    <t>5.-ból EU-s támogatás (közvetlen)</t>
  </si>
  <si>
    <t>Eredeti
előirányzat 1.1.sz.mell. adatai</t>
  </si>
  <si>
    <t>Eredeti
előirányzat 9.1., 9.2.,…,9.12.sz.mell. adatai</t>
  </si>
  <si>
    <t>Működési célú visszatérítendő támogatások, kölcsönök visszatérülése</t>
  </si>
  <si>
    <t>Egyéb működési célú támogatások bevételei</t>
  </si>
  <si>
    <t>Előző évi költségvetési maradvány igénybevétele</t>
  </si>
  <si>
    <t>Előző évi vállalkozási maradvány igénybevétele</t>
  </si>
  <si>
    <t>Működési célú támogatások államháztartáson belülről (10+…+11+…+14)</t>
  </si>
  <si>
    <t>FINANSZÍROZÁSI BEVÉTELEK ÖSSZESEN: (60 + 64+69+73+77+82+83)</t>
  </si>
  <si>
    <t>KÖLTSÉGVETÉSI ÉS FINANSZÍROZÁSI BEVÉTELEK ÖSSZESEN: (59+84)</t>
  </si>
  <si>
    <t>FINANSZÍROZÁSI KIADÁSOK ÖSSZESEN: (37+41+48+54+60+61)</t>
  </si>
  <si>
    <t>KIADÁSOK ÖSSZESEN: (36.+62)</t>
  </si>
  <si>
    <t>HALMOZOTT KIADÁS: (63+64)</t>
  </si>
  <si>
    <t>HALMOZOTT BEVÉTEL: (85+86)</t>
  </si>
  <si>
    <t>Finanszírozási bevételek, kiadások egyenlege (finanszírozási bevételek 83. sor - finanszírozási kiadások 61. sor)
 (+/-)</t>
  </si>
  <si>
    <t>Finanszírozási bevételek, kiadások egyenlege (finanszírozási bevételek 84. sor - finanszírozási kiadások 62. sor)
 (+/-)</t>
  </si>
  <si>
    <t>HALMOZOTT BEVÉTEL(86)-HALMOZOTT KIADÁS(65)  EGYENLEGE</t>
  </si>
  <si>
    <t>Módosított
előirányzat 9.1., 9.2.,…,9.12.sz.mell. adatai</t>
  </si>
  <si>
    <t>Módosított
előirányzat 1.1.sz.mell. Adatai</t>
  </si>
  <si>
    <t>Teljesítés 1.1.sz.mell. adatai</t>
  </si>
  <si>
    <t>Teljesítés 9.1., 9.2.,…,9.12.sz.mell. adatai</t>
  </si>
  <si>
    <t>J</t>
  </si>
  <si>
    <t>K</t>
  </si>
  <si>
    <t>Tervezett 
támogatás összege</t>
  </si>
  <si>
    <t>Módosított támogatás összege</t>
  </si>
  <si>
    <t>F=(D+E)</t>
  </si>
  <si>
    <t>IB_1.1.sz.mell. Bevételek táblázat C oszlop 83 sora =</t>
  </si>
  <si>
    <t>IB_1.1.sz.mell. Bevételek táblázat C oszlop 84 sora =</t>
  </si>
  <si>
    <t>IB_1.1.sz.mell. Bevételek táblázat C oszlop 59 sora =</t>
  </si>
  <si>
    <t>IB_1.1.sz.mell. Bevételek táblázat D oszlop 59 sora =</t>
  </si>
  <si>
    <t>IB_1.1.sz.mell. Bevételek táblázat D oszlop 83 sora =</t>
  </si>
  <si>
    <t>IB_1.1.sz.mell. Bevételek táblázat D oszlop 84 sora =</t>
  </si>
  <si>
    <t>IB_1.1.sz.mell. Bevételek táblázat E oszlop 59 sora =</t>
  </si>
  <si>
    <t>IB_1.1.sz.mell. Bevételek táblázat E oszlop 83 sora =</t>
  </si>
  <si>
    <t>IB_1.1.sz.mell. Bevételek táblázat E oszlop 84 sora =</t>
  </si>
  <si>
    <t>IB_1.1.sz.mell. Kiadások táblázat C oszlop 36 sora =</t>
  </si>
  <si>
    <t>IB2.1.sz.mell. G oszlop 13 sor + IB_2.2.sz.mell. G oszlop 12 sor</t>
  </si>
  <si>
    <t>IB1.1.sz.mell. Kiadások táblázat C oszlop 61 sora =</t>
  </si>
  <si>
    <t>IB2.1.sz.mell. G oszlop 24 sor + IB_2.2.sz.mell. G oszlop 25 sor</t>
  </si>
  <si>
    <t>IB1.1.sz.mell.Kiadások táblázat C oszlop 62 sora =</t>
  </si>
  <si>
    <t>IB2.1.sz.mell. G oszlop 25 sor + IB_2.2.sz.mell. G oszlop 26 sor</t>
  </si>
  <si>
    <t>IB_1.1.sz.mell. Kiadások táblázat D oszlop 36 sora =</t>
  </si>
  <si>
    <t>IB_2.1.sz.mell. H oszlop 13 sor + IB_2.2.sz.mell. H oszlop 12 sor</t>
  </si>
  <si>
    <t>IB_1.1.sz.mell. Kiadások táblázat D oszlop 61 sora =</t>
  </si>
  <si>
    <t>IB_2.1.sz.mell. H oszlop 24 sor + IB_2.2.sz.mell. H oszlop 25 sor</t>
  </si>
  <si>
    <t>IB_1.1.sz.mell. Kiadások táblázat Doszlop 62 sora =</t>
  </si>
  <si>
    <t>IB_2.1.sz.mell. H oszlop 25 sor + IB_2.2.sz.mell. H oszlop 26 sor</t>
  </si>
  <si>
    <t>IB_1.1.sz.mell. Kiadások táblázat E oszlop 36 sora =</t>
  </si>
  <si>
    <t>IB_2.1.sz.mell. I oszlop 13 sor + IB_2.2.sz.mell. I oszlop 12 sor</t>
  </si>
  <si>
    <t>IB_1.1.sz.mell. Kiadások táblázat E oszlop 61 sora =</t>
  </si>
  <si>
    <t>IB_2.1.sz.mell. I oszlop 24 sor + IB_2.2.sz.mell. I oszlop 25 sor</t>
  </si>
  <si>
    <t>IB_1.1.sz.mell. Kiadások táblázat E oszlop 62 sora =</t>
  </si>
  <si>
    <t>IB_2.1.sz.mell. I oszlop 25 sor + IB_2.2.sz.mell. I oszlop 26 sor</t>
  </si>
  <si>
    <t xml:space="preserve">IB_2.1.sz.mell. táblázat D oszlop 13 sor + IB_2.2.sz.mell. táblázat D oszlop 12 sor </t>
  </si>
  <si>
    <t xml:space="preserve">IB_2.1.sz.mell. táblázat C oszlop 13 sor + IB_2.2.sz.mell. táblázat C oszlop 12 sor </t>
  </si>
  <si>
    <t xml:space="preserve">IB_2.1.sz.mell. táblázat C oszlop 24 sor + IB_2.2.sz.mell. táblázat C oszlop 25 sor </t>
  </si>
  <si>
    <t xml:space="preserve">IB_2.1.sz.mell. táblázat C oszlop 25 sor + IB_2.2.sz.mell. táblázat C oszlop 26 sor </t>
  </si>
  <si>
    <t xml:space="preserve">IB_2.1.sz.mell. táblázat D oszlop 24 sor + IB_2.2.sz.mell. táblázat D oszlop 25 sor </t>
  </si>
  <si>
    <t xml:space="preserve">IB_2.1.sz.mell. táblázat D oszlop 25 sor + IB_2.2.sz.mell. táblázat D oszlop 26 sor </t>
  </si>
  <si>
    <t xml:space="preserve">IB_2.1.sz.mell. táblázat E oszlop 13 sor + IB_2.2.sz.mell. táblázat E oszlop 12 sor </t>
  </si>
  <si>
    <t xml:space="preserve">IB_2.1.sz.mell. táblázat E oszlop 24 sor + IB_2.2.sz.mell. táblázat E oszlop 25 sor </t>
  </si>
  <si>
    <t xml:space="preserve">IB_2.1.sz.mell. táblázat E oszlop 25 sor + IB_2.2.sz.mell. táblázat E oszlop 26 sor </t>
  </si>
  <si>
    <t xml:space="preserve">   Működési költségvetés kiadásai (2+…+6)</t>
  </si>
  <si>
    <t xml:space="preserve">   Felhalmozási költségvetés kiadásai (23+25+27)</t>
  </si>
  <si>
    <t>Igen</t>
  </si>
  <si>
    <t>Mellékletben külön!</t>
  </si>
  <si>
    <t>ELLENŐRZÉS_IB!A1</t>
  </si>
  <si>
    <t>I. félévi</t>
  </si>
  <si>
    <t>TOP Plusz 3.3.2 Szoc. alapszolg.fejl I.ütem</t>
  </si>
  <si>
    <t>2023-2026</t>
  </si>
  <si>
    <t>TOP Plusz 3.3.2 Szoc. alapszolg.fejl II.ütem</t>
  </si>
  <si>
    <t>Egyéb gép, berendezés</t>
  </si>
  <si>
    <t>2024</t>
  </si>
  <si>
    <t>Közvilágítási lámpák cseréje IV. ütem áthúzódó</t>
  </si>
  <si>
    <t xml:space="preserve">Közvilágítási lámpák cseréje V. ütem </t>
  </si>
  <si>
    <t>Temető urnafal építés</t>
  </si>
  <si>
    <t>Kossuth utcai parkoló ideiglenes kialakítás</t>
  </si>
  <si>
    <t>Számvevőségi épület kiállítási bútorzat, nyílászáró csere</t>
  </si>
  <si>
    <t>Wienerberger területek adásvétele (FAD dologiban 11 313e Ft)</t>
  </si>
  <si>
    <t>283/2023 TOP plusz 944/2 ingatlan vásárlása</t>
  </si>
  <si>
    <t>Térfigyelő rendszer bővítése</t>
  </si>
  <si>
    <t>46/2024 0224/4 0627/1 0628/1 hrsz.  ingatlanok megvásárlása</t>
  </si>
  <si>
    <t>Könyvtár könyv beszerzés</t>
  </si>
  <si>
    <t>Köh egyéb gép, berendezés</t>
  </si>
  <si>
    <t>Számvevőségi épület felújítása II. ütem NKA pályázat</t>
  </si>
  <si>
    <t>Lakásfelújítási program Gárdonyi utca 1. tetőszerkezet</t>
  </si>
  <si>
    <t>Lakásfelújítási program Svábhegy u. 1. vizesblokk kialakítása II. ütem</t>
  </si>
  <si>
    <t>ESZGY HSNY-re hozzájárulás Bátaszék</t>
  </si>
  <si>
    <t>ESZGY HSNY-re igényelt állami támogatás átadása</t>
  </si>
  <si>
    <t>ESZGY IK hozzájárulás Bátaszék</t>
  </si>
  <si>
    <t>ESZGY IK-re igényelt állami támogatás átadása</t>
  </si>
  <si>
    <t>ESZGY Családsegítés Bátaszék</t>
  </si>
  <si>
    <t>ESZGY Gyermekjóléti és családsegítésre igényelt állami támogatás átadása</t>
  </si>
  <si>
    <t>ESZGY munkaszervezet működtetésére Bátaszék</t>
  </si>
  <si>
    <t>ESZGY Szociális étkeztetésre támogatás átadása Bátaszék</t>
  </si>
  <si>
    <t>ESZGY Szociális étkeztetésre igényelt állami támogatás átadása</t>
  </si>
  <si>
    <t>ESZGY JHSNY támogatása</t>
  </si>
  <si>
    <t>MOB Óvodaműködtetési támogatás</t>
  </si>
  <si>
    <t>MOB Pedag.átlagbéralapú támogatás</t>
  </si>
  <si>
    <t>MOB Ped.II.kategba sorolt pedagógus támog.</t>
  </si>
  <si>
    <t>MOB nemzetiségi pótlék állami támogatás Bátaszék</t>
  </si>
  <si>
    <t>MOB Ped.szakk.nem rend.segítők átlbér támog.</t>
  </si>
  <si>
    <t>MOB bölcsődére átadott állami támogatás Bátaszék</t>
  </si>
  <si>
    <t>MOB gyermekétkeztetés állami támogatása Bátaszék</t>
  </si>
  <si>
    <t>MOB Működési hozzájárulás Bátaszék</t>
  </si>
  <si>
    <t>MOB munkaszervezet működtetésére Bátaszék</t>
  </si>
  <si>
    <t>Német Nemzetiségi Önkormányzat támogatása</t>
  </si>
  <si>
    <t>Roma Nemzetiségi Önkormányzat támogatása</t>
  </si>
  <si>
    <t>Bursa Hungarica ösztöndíjak</t>
  </si>
  <si>
    <t>TOP 3.2.1. Iskola energetika visszafizetendő támogatás</t>
  </si>
  <si>
    <t>KÖH tartalékok</t>
  </si>
  <si>
    <t>Működési célú pénzeszközátadás államháztartáson kívülre</t>
  </si>
  <si>
    <t>Polgárőrség támogatása</t>
  </si>
  <si>
    <t>BSE támogatása</t>
  </si>
  <si>
    <t>273/2022 BSE támogatása tiszteletdíj lemondás miatt</t>
  </si>
  <si>
    <t>200/2023 Kiegészítő támogatás biztosítása a BSE részére</t>
  </si>
  <si>
    <t>Vöröskereszt véradók támogatása</t>
  </si>
  <si>
    <t>Vállalkozók Ipartestülete támogatás</t>
  </si>
  <si>
    <t>Tűzoltó Köztestület támogatása</t>
  </si>
  <si>
    <t>Horgász Egyesület támogatása</t>
  </si>
  <si>
    <t>Egyházak pályázható támogatási keretösszege</t>
  </si>
  <si>
    <t>Hagyományőrző egyesületek pályázható támogatási keretösszege</t>
  </si>
  <si>
    <t>Alapítványok pályázható támogatási keretösszege</t>
  </si>
  <si>
    <t>Sportszervezetek pályázható támogatási keretösszege (sakk)</t>
  </si>
  <si>
    <t>Közművelődési szervezetek pályázható támogatási keretösszege</t>
  </si>
  <si>
    <t>Egyéb civil szervezetek pályázható támogatási keretösszege</t>
  </si>
  <si>
    <t xml:space="preserve">Marketing Kft. Közművelődési feladatok (közfeladatellátási szerződés) </t>
  </si>
  <si>
    <t>271 /2022 Marketing Kft támogatása tiszteletdíj lemondás miatt</t>
  </si>
  <si>
    <t xml:space="preserve">Marketing Kft. Múzeumi feladatok (közfeladatellátási szerződés) </t>
  </si>
  <si>
    <t xml:space="preserve">Marketing Kft. Kiadói tevékenység feladatok (közfeladatellátási szerződés) </t>
  </si>
  <si>
    <t>Bát-Kom 2004. Kft. Tanuszoda üzemeltetés kiadása</t>
  </si>
  <si>
    <t>Bát-Kom 2004. Kft. Közfeladat-ellátási szerződés városüzemeltetés</t>
  </si>
  <si>
    <t>Bát-Kom 2004. Kft. Közfeladat-ellátási szerződés híd és közút üzemeltetés</t>
  </si>
  <si>
    <t>Bát-Kom 2004. Kft. Közfeladat- ellátási szerződés piac üzemeltetése</t>
  </si>
  <si>
    <t>Bát-Kom 2004. Kft. Közfeladat-ellátási szerződés ingatlan üzemeltetés</t>
  </si>
  <si>
    <t>Bát-Kom 2004. Kft. Közfeladat-ellátási szerződés sportcsarnok</t>
  </si>
  <si>
    <t>Bát-Kom 2004. Kft. Közfeladat-ellátási szerződés sportpálya I. negyedév</t>
  </si>
  <si>
    <t>Bát-Kom 2004. Kft. Szolgáltatási szerződés Ingatlanok</t>
  </si>
  <si>
    <t>220/2023 Felőoktatási tanulmányi ösztöndíj 1 havi áthúzódó</t>
  </si>
  <si>
    <t>Felőoktatási tanulmányi ösztöndíj</t>
  </si>
  <si>
    <t>Bátaszéki Római Katolikus Plébánia támogatása</t>
  </si>
  <si>
    <t>Rákóczi Szövetség támogatása</t>
  </si>
  <si>
    <t>Temető 2023. évi elszámolása</t>
  </si>
  <si>
    <t>Támogatásértékű felhalmozási kiadás</t>
  </si>
  <si>
    <t>ESZGY felhalmozási kiadás - Családsegítés laptop besz.</t>
  </si>
  <si>
    <t>MOB felhalmozási kiadás - konyhai eszköz, klíma beszerzés</t>
  </si>
  <si>
    <t xml:space="preserve"> Felhalmozási célú pénzeszközátadás államháztartáson kívülre</t>
  </si>
  <si>
    <t>Támogatásértékű működési kiadás államháztartáson belülre</t>
  </si>
  <si>
    <t>TETT 2023. évi elszámolás visszafizetés</t>
  </si>
  <si>
    <t>Sportpálya üzemeltetés Ct feloldás BSE megállapodás</t>
  </si>
  <si>
    <t>Jótállási biztosíték MNP visszautalás</t>
  </si>
  <si>
    <t>Német egyesület ifjúsági zenekar tám</t>
  </si>
  <si>
    <t>Véglegesen átvett pénzeszköz megnevezése</t>
  </si>
  <si>
    <t>2024. évi eredeti előirányzat</t>
  </si>
  <si>
    <t xml:space="preserve">Támogatásértékű működési bevételek </t>
  </si>
  <si>
    <t>NEAK-től átvett pénzeszköz</t>
  </si>
  <si>
    <t>Orvosi rendelőre átvett NEAK támogatás</t>
  </si>
  <si>
    <t>EU-s támogatásból származó bevétel</t>
  </si>
  <si>
    <t>Elkülönített állami pénzalapoktól átvett pénzeszköz</t>
  </si>
  <si>
    <t>Közfoglalkoztatásra átvett</t>
  </si>
  <si>
    <t>Nyári diákmunka</t>
  </si>
  <si>
    <t>Társulások és költségvetési szerveik</t>
  </si>
  <si>
    <t>Bátaapáti TETT</t>
  </si>
  <si>
    <t>ESZGY 2023. évi elszámolás</t>
  </si>
  <si>
    <t>MOB 2023. évi elszámolás</t>
  </si>
  <si>
    <t>KÖH 2023. évi elszámolás</t>
  </si>
  <si>
    <t>Támogatás értékű bevétel központi költségvetési szervtől</t>
  </si>
  <si>
    <t>Működési célú bevétel EPON 2024.06.09.</t>
  </si>
  <si>
    <t>Támogatás értékű bevétel önkormányzattól</t>
  </si>
  <si>
    <t>A KÖH-re átvett társulási támogatások (munkaszervezet) MOB</t>
  </si>
  <si>
    <t>A KÖH-re átvett társulási támogatások (munkaszervezet) ESZGY</t>
  </si>
  <si>
    <t>Alsónyék Önkormányzata KÖH hozzájárulás</t>
  </si>
  <si>
    <t>Alsónána Önkormányzata KÖH hozzájárulás</t>
  </si>
  <si>
    <t>Sárpilis Önkormányzata KÖH hozzájárulás</t>
  </si>
  <si>
    <t xml:space="preserve">Támogatásértékű felhalmozási bevételek </t>
  </si>
  <si>
    <t>Vis maior pincebeszakadás ebr támogatás</t>
  </si>
  <si>
    <t>VP6 Helyi piac fejlesztése pályázati bevétel</t>
  </si>
  <si>
    <t>Nka pályázat számvevőségi épület felújítás</t>
  </si>
  <si>
    <t>Működési célú pénzeszköz átvétel államháztartáson kívülről</t>
  </si>
  <si>
    <t>Felhalmozási célú pénzeszk. átvétel államháztartáson kívülről</t>
  </si>
  <si>
    <t>IV. Véglegesen átvett pénzeszközök (2.5.+ 3.5+ 7.3 + 8.3.)</t>
  </si>
  <si>
    <t>Forintban</t>
  </si>
  <si>
    <t>2024. évi előirányzat</t>
  </si>
  <si>
    <t>Települési támogatás lakhatás céljára (önk.-i r. 16-20. §)</t>
  </si>
  <si>
    <t>Települési támogatás mélt.-ból gyógyszerkiadások céljára (önk.-i r. 21. §)</t>
  </si>
  <si>
    <t>Települési támogatás rendk.-i települési támogatásra (önk.-i r.12. §)</t>
  </si>
  <si>
    <t>Települési támogatás temetés céljára (önk.-i r. 15. §)</t>
  </si>
  <si>
    <t>Eseti gyógyszerkiadás céljára (önk.-i r. 22. §)</t>
  </si>
  <si>
    <t>Köztemetés (önk.-i r. 27. §)</t>
  </si>
  <si>
    <t>Település támogatás (1+….+6)</t>
  </si>
  <si>
    <t>Újszülöttek támogatása (önk.-i r.13. §)</t>
  </si>
  <si>
    <t>Gimnázium iskolakezdési támogatás (önk.-i r.14. §)</t>
  </si>
  <si>
    <t>Zeneiskolai támogatás (Gyer.önk-i 7. §)</t>
  </si>
  <si>
    <t>Rendkívüli települési támogatás PM hatáskörben azonnali (terv)</t>
  </si>
  <si>
    <t>Gyermekétkeztetési térítési díjkedvezmény  (Gyer. önk.-i r. 16. § (4) bek.)</t>
  </si>
  <si>
    <t>Életjáradék Bátaszék Város Díszpolgára kitüntetésben részesített r. (14/2010. (VI.30.) önk rend. 9 § (3) bek.)</t>
  </si>
  <si>
    <t>Egyéb nem intézményi ellátások (8+…+13)</t>
  </si>
  <si>
    <t>Ellátottak pénzbeli juttatásai (7+14)</t>
  </si>
  <si>
    <t>Rendkívüli települési támogatás tüzelő (önk.-i r. 26.§)</t>
  </si>
  <si>
    <t>Települési támogatás ternészetbeni rendkívüli települési támogatás</t>
  </si>
  <si>
    <t>Ünnepekhez kapcsolódó támogatások adomány( önk-i r. 23/A. § (1) bek. A)</t>
  </si>
  <si>
    <t>Helyi autóbusz-közlekedés támogatása, bérlettel (önk.-i r. 24-25. §)</t>
  </si>
  <si>
    <t>Védőoltások (Gyer. Önk.-i r. 4 -6. §)</t>
  </si>
  <si>
    <t>90 éven felüliek karácsonyi támogatása (önk-i r. 23. § (1) )</t>
  </si>
  <si>
    <t>Természetbeni juttatások összesen (16+…+21)</t>
  </si>
  <si>
    <t>Mindösszesen (15+22)</t>
  </si>
  <si>
    <t>Dibond tábla beszerzése</t>
  </si>
  <si>
    <t>2024. évi 06.30. teljesítés</t>
  </si>
  <si>
    <t>Bátaszék Város Önkormányzata</t>
  </si>
  <si>
    <t>Bátaszéki Közös Önkormányzati Hivatal</t>
  </si>
  <si>
    <t>Keresztély Gyula Városi Könyvtár</t>
  </si>
  <si>
    <t>Teljesítés 2024.06.30.</t>
  </si>
  <si>
    <t>Magánszemélyek kommunális adója</t>
  </si>
  <si>
    <t>Egyéb közhatalmi bevétel</t>
  </si>
  <si>
    <t>Védőoltások</t>
  </si>
  <si>
    <t>Ünnepi adomány</t>
  </si>
  <si>
    <t>5.1 melléklet a 2024. I. félévi költségvetési tájékoztatóhoz</t>
  </si>
  <si>
    <t>Ft-ban</t>
  </si>
  <si>
    <t xml:space="preserve">6. melléklet a 2024. I. félévi költségvetési tájékoztatóhoz    </t>
  </si>
  <si>
    <t>7. melléklet a 2024. I. félévi költségvetési tájékoztatóhoz</t>
  </si>
  <si>
    <t>8. melléklet a 2024. I. félévi költségvetési tájékoztatóhoz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</si>
</sst>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#,###"/>
  </numFmts>
  <fonts count="59" x14ac:knownFonts="1"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i/>
      <sz val="11"/>
      <name val="Times New Roman CE"/>
      <charset val="238"/>
    </font>
    <font>
      <sz val="7"/>
      <name val="Times New Roman CE"/>
      <charset val="238"/>
    </font>
    <font>
      <i/>
      <sz val="11"/>
      <name val="Times New Roman CE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12"/>
      <name val="Times New Roman CE"/>
      <charset val="238"/>
    </font>
    <font>
      <i/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b/>
      <i/>
      <sz val="8"/>
      <name val="Times New Roman CE"/>
      <charset val="238"/>
    </font>
    <font>
      <b/>
      <i/>
      <sz val="8"/>
      <name val="Times New Roman CE"/>
      <family val="1"/>
      <charset val="238"/>
    </font>
    <font>
      <sz val="8"/>
      <color indexed="8"/>
      <name val="Times New Roman CE"/>
      <charset val="238"/>
    </font>
    <font>
      <b/>
      <sz val="8"/>
      <color indexed="8"/>
      <name val="Times New Roman CE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Times New Roman CE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FF0000"/>
      <name val="Times New Roman CE"/>
      <charset val="238"/>
    </font>
    <font>
      <sz val="12"/>
      <color rgb="FFFF0000"/>
      <name val="Times New Roman CE"/>
      <charset val="238"/>
    </font>
    <font>
      <sz val="10"/>
      <color theme="0"/>
      <name val="Times New Roman CE"/>
      <charset val="238"/>
    </font>
    <font>
      <b/>
      <sz val="14"/>
      <color rgb="FF000000"/>
      <name val="Times New Roman"/>
      <family val="1"/>
      <charset val="238"/>
    </font>
    <font>
      <b/>
      <sz val="14"/>
      <color rgb="FFFF0000"/>
      <name val="Times New Roman CE"/>
      <charset val="238"/>
    </font>
  </fonts>
  <fills count="14">
    <fill>
      <patternFill patternType="none"/>
    </fill>
    <fill>
      <patternFill patternType="gray125"/>
    </fill>
    <fill>
      <patternFill patternType="lightHorizontal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50" fillId="0" borderId="0"/>
    <xf numFmtId="0" fontId="9" fillId="0" borderId="0"/>
    <xf numFmtId="9" fontId="13" fillId="0" borderId="0" applyFont="0" applyFill="0" applyBorder="0" applyAlignment="0" applyProtection="0"/>
  </cellStyleXfs>
  <cellXfs count="571">
    <xf numFmtId="0" fontId="0" fillId="0" borderId="0" xfId="0"/>
    <xf numFmtId="16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9" applyFont="1" applyAlignment="1">
      <alignment horizontal="center" vertical="center" wrapText="1"/>
    </xf>
    <xf numFmtId="0" fontId="5" fillId="0" borderId="0" xfId="9" applyFont="1" applyAlignment="1">
      <alignment vertical="center" wrapText="1"/>
    </xf>
    <xf numFmtId="0" fontId="16" fillId="0" borderId="1" xfId="9" applyFont="1" applyBorder="1" applyAlignment="1">
      <alignment horizontal="left" vertical="center" wrapText="1" indent="1"/>
    </xf>
    <xf numFmtId="0" fontId="16" fillId="0" borderId="2" xfId="9" applyFont="1" applyBorder="1" applyAlignment="1">
      <alignment horizontal="left" vertical="center" wrapText="1" indent="1"/>
    </xf>
    <xf numFmtId="0" fontId="16" fillId="0" borderId="3" xfId="9" applyFont="1" applyBorder="1" applyAlignment="1">
      <alignment horizontal="left" vertical="center" wrapText="1" indent="1"/>
    </xf>
    <xf numFmtId="0" fontId="16" fillId="0" borderId="4" xfId="9" applyFont="1" applyBorder="1" applyAlignment="1">
      <alignment horizontal="left" vertical="center" wrapText="1" indent="1"/>
    </xf>
    <xf numFmtId="0" fontId="16" fillId="0" borderId="5" xfId="9" applyFont="1" applyBorder="1" applyAlignment="1">
      <alignment horizontal="left" vertical="center" wrapText="1" indent="1"/>
    </xf>
    <xf numFmtId="0" fontId="16" fillId="0" borderId="6" xfId="9" applyFont="1" applyBorder="1" applyAlignment="1">
      <alignment horizontal="left" vertical="center" wrapText="1" indent="1"/>
    </xf>
    <xf numFmtId="49" fontId="16" fillId="0" borderId="12" xfId="9" applyNumberFormat="1" applyFont="1" applyBorder="1" applyAlignment="1">
      <alignment horizontal="left" vertical="center" wrapText="1" indent="1"/>
    </xf>
    <xf numFmtId="0" fontId="16" fillId="0" borderId="0" xfId="9" applyFont="1" applyAlignment="1">
      <alignment horizontal="left" vertical="center" wrapText="1" indent="1"/>
    </xf>
    <xf numFmtId="0" fontId="15" fillId="0" borderId="14" xfId="9" applyFont="1" applyBorder="1" applyAlignment="1">
      <alignment horizontal="left" vertical="center" wrapText="1" indent="1"/>
    </xf>
    <xf numFmtId="164" fontId="16" fillId="0" borderId="2" xfId="0" applyNumberFormat="1" applyFont="1" applyBorder="1" applyAlignment="1" applyProtection="1">
      <alignment vertical="center" wrapText="1"/>
      <protection locked="0"/>
    </xf>
    <xf numFmtId="164" fontId="16" fillId="0" borderId="6" xfId="0" applyNumberFormat="1" applyFont="1" applyBorder="1" applyAlignment="1" applyProtection="1">
      <alignment vertical="center" wrapText="1"/>
      <protection locked="0"/>
    </xf>
    <xf numFmtId="0" fontId="15" fillId="0" borderId="14" xfId="9" applyFont="1" applyBorder="1" applyAlignment="1">
      <alignment vertical="center" wrapText="1"/>
    </xf>
    <xf numFmtId="0" fontId="15" fillId="0" borderId="16" xfId="9" applyFont="1" applyBorder="1" applyAlignment="1">
      <alignment vertical="center" wrapText="1"/>
    </xf>
    <xf numFmtId="0" fontId="15" fillId="0" borderId="13" xfId="9" applyFont="1" applyBorder="1" applyAlignment="1">
      <alignment horizontal="center" vertical="center" wrapText="1"/>
    </xf>
    <xf numFmtId="0" fontId="15" fillId="0" borderId="14" xfId="9" applyFont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16" fillId="0" borderId="8" xfId="0" applyNumberFormat="1" applyFont="1" applyBorder="1" applyAlignment="1" applyProtection="1">
      <alignment horizontal="left" vertical="center" wrapText="1" indent="1"/>
      <protection locked="0"/>
    </xf>
    <xf numFmtId="164" fontId="16" fillId="0" borderId="10" xfId="0" applyNumberFormat="1" applyFont="1" applyBorder="1" applyAlignment="1" applyProtection="1">
      <alignment horizontal="left" vertical="center" wrapText="1" indent="1"/>
      <protection locked="0"/>
    </xf>
    <xf numFmtId="164" fontId="15" fillId="0" borderId="14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14" fillId="0" borderId="8" xfId="0" applyNumberFormat="1" applyFont="1" applyBorder="1" applyAlignment="1" applyProtection="1">
      <alignment horizontal="left" vertical="center" wrapText="1" indent="1"/>
      <protection locked="0"/>
    </xf>
    <xf numFmtId="164" fontId="14" fillId="0" borderId="2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164" fontId="23" fillId="0" borderId="2" xfId="0" applyNumberFormat="1" applyFont="1" applyBorder="1" applyAlignment="1" applyProtection="1">
      <alignment horizontal="right" vertical="center" wrapText="1" indent="1"/>
      <protection locked="0"/>
    </xf>
    <xf numFmtId="164" fontId="23" fillId="0" borderId="17" xfId="0" applyNumberFormat="1" applyFont="1" applyBorder="1" applyAlignment="1" applyProtection="1">
      <alignment horizontal="right" vertical="center" wrapText="1" indent="1"/>
      <protection locked="0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15" fillId="2" borderId="14" xfId="0" applyNumberFormat="1" applyFont="1" applyFill="1" applyBorder="1" applyAlignment="1">
      <alignment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2" fillId="0" borderId="14" xfId="9" applyFont="1" applyBorder="1" applyAlignment="1">
      <alignment horizontal="left" vertical="center" wrapText="1" indent="1"/>
    </xf>
    <xf numFmtId="164" fontId="22" fillId="0" borderId="13" xfId="0" applyNumberFormat="1" applyFont="1" applyBorder="1" applyAlignment="1">
      <alignment horizontal="left" vertical="center" wrapText="1" indent="1"/>
    </xf>
    <xf numFmtId="0" fontId="30" fillId="0" borderId="0" xfId="0" applyFont="1"/>
    <xf numFmtId="164" fontId="23" fillId="0" borderId="5" xfId="0" applyNumberFormat="1" applyFont="1" applyBorder="1" applyAlignment="1" applyProtection="1">
      <alignment horizontal="right" vertical="center" wrapText="1" indent="1"/>
      <protection locked="0"/>
    </xf>
    <xf numFmtId="0" fontId="23" fillId="0" borderId="18" xfId="9" applyFont="1" applyBorder="1" applyAlignment="1">
      <alignment horizontal="left" vertical="center" wrapText="1" indent="1"/>
    </xf>
    <xf numFmtId="0" fontId="16" fillId="0" borderId="2" xfId="9" applyFont="1" applyBorder="1" applyAlignment="1">
      <alignment horizontal="left" indent="6"/>
    </xf>
    <xf numFmtId="0" fontId="16" fillId="0" borderId="2" xfId="9" applyFont="1" applyBorder="1" applyAlignment="1">
      <alignment horizontal="left" vertical="center" wrapText="1" indent="6"/>
    </xf>
    <xf numFmtId="0" fontId="16" fillId="0" borderId="6" xfId="9" applyFont="1" applyBorder="1" applyAlignment="1">
      <alignment horizontal="left" vertical="center" wrapText="1" indent="6"/>
    </xf>
    <xf numFmtId="0" fontId="16" fillId="0" borderId="17" xfId="9" applyFont="1" applyBorder="1" applyAlignment="1">
      <alignment horizontal="left" vertical="center" wrapText="1" indent="6"/>
    </xf>
    <xf numFmtId="0" fontId="34" fillId="0" borderId="0" xfId="0" applyFont="1"/>
    <xf numFmtId="164" fontId="6" fillId="0" borderId="14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left" wrapText="1" inden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16" fontId="0" fillId="0" borderId="0" xfId="0" applyNumberFormat="1" applyAlignment="1">
      <alignment vertical="center" wrapText="1"/>
    </xf>
    <xf numFmtId="164" fontId="15" fillId="0" borderId="21" xfId="9" applyNumberFormat="1" applyFont="1" applyBorder="1" applyAlignment="1">
      <alignment horizontal="right" vertical="center" wrapText="1" indent="1"/>
    </xf>
    <xf numFmtId="164" fontId="16" fillId="0" borderId="22" xfId="9" applyNumberFormat="1" applyFont="1" applyBorder="1" applyAlignment="1" applyProtection="1">
      <alignment horizontal="right" vertical="center" wrapText="1" indent="1"/>
      <protection locked="0"/>
    </xf>
    <xf numFmtId="164" fontId="16" fillId="0" borderId="23" xfId="9" applyNumberFormat="1" applyFont="1" applyBorder="1" applyAlignment="1" applyProtection="1">
      <alignment horizontal="right" vertical="center" wrapText="1" indent="1"/>
      <protection locked="0"/>
    </xf>
    <xf numFmtId="164" fontId="16" fillId="0" borderId="24" xfId="9" applyNumberFormat="1" applyFont="1" applyBorder="1" applyAlignment="1" applyProtection="1">
      <alignment horizontal="right" vertical="center" wrapText="1" indent="1"/>
      <protection locked="0"/>
    </xf>
    <xf numFmtId="164" fontId="23" fillId="0" borderId="22" xfId="9" applyNumberFormat="1" applyFont="1" applyBorder="1" applyAlignment="1" applyProtection="1">
      <alignment horizontal="right" vertical="center" wrapText="1" indent="1"/>
      <protection locked="0"/>
    </xf>
    <xf numFmtId="164" fontId="23" fillId="0" borderId="24" xfId="9" applyNumberFormat="1" applyFont="1" applyBorder="1" applyAlignment="1" applyProtection="1">
      <alignment horizontal="right" vertical="center" wrapText="1" indent="1"/>
      <protection locked="0"/>
    </xf>
    <xf numFmtId="164" fontId="23" fillId="0" borderId="23" xfId="9" applyNumberFormat="1" applyFont="1" applyBorder="1" applyAlignment="1" applyProtection="1">
      <alignment horizontal="right" vertical="center" wrapText="1" indent="1"/>
      <protection locked="0"/>
    </xf>
    <xf numFmtId="0" fontId="21" fillId="0" borderId="14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horizontal="left" vertical="center" wrapText="1" indent="1"/>
    </xf>
    <xf numFmtId="0" fontId="20" fillId="0" borderId="6" xfId="0" applyFont="1" applyBorder="1" applyAlignment="1">
      <alignment horizontal="left" vertical="center" wrapText="1" indent="1"/>
    </xf>
    <xf numFmtId="164" fontId="22" fillId="0" borderId="19" xfId="9" applyNumberFormat="1" applyFont="1" applyBorder="1" applyAlignment="1">
      <alignment horizontal="right" vertical="center" wrapText="1" indent="1"/>
    </xf>
    <xf numFmtId="164" fontId="5" fillId="0" borderId="0" xfId="9" applyNumberFormat="1" applyFont="1" applyAlignment="1">
      <alignment horizontal="right" vertical="center" wrapText="1" indent="1"/>
    </xf>
    <xf numFmtId="0" fontId="4" fillId="0" borderId="26" xfId="0" applyFont="1" applyBorder="1" applyAlignment="1">
      <alignment horizontal="right" vertical="center"/>
    </xf>
    <xf numFmtId="164" fontId="16" fillId="0" borderId="3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2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27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6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14" xfId="0" applyNumberFormat="1" applyFont="1" applyBorder="1" applyAlignment="1">
      <alignment horizontal="right" vertical="center" wrapText="1" indent="1"/>
    </xf>
    <xf numFmtId="164" fontId="23" fillId="0" borderId="1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19" xfId="0" applyNumberFormat="1" applyFont="1" applyBorder="1" applyAlignment="1">
      <alignment horizontal="right" vertical="center" wrapText="1" indent="1"/>
    </xf>
    <xf numFmtId="164" fontId="22" fillId="0" borderId="14" xfId="0" applyNumberFormat="1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164" fontId="0" fillId="0" borderId="28" xfId="0" applyNumberFormat="1" applyBorder="1" applyAlignment="1">
      <alignment horizontal="left" vertical="center" wrapText="1" indent="1"/>
    </xf>
    <xf numFmtId="164" fontId="16" fillId="0" borderId="9" xfId="0" applyNumberFormat="1" applyFont="1" applyBorder="1" applyAlignment="1">
      <alignment horizontal="left" vertical="center" wrapText="1" indent="1"/>
    </xf>
    <xf numFmtId="164" fontId="0" fillId="0" borderId="29" xfId="0" applyNumberFormat="1" applyBorder="1" applyAlignment="1">
      <alignment horizontal="left" vertical="center" wrapText="1" indent="1"/>
    </xf>
    <xf numFmtId="164" fontId="16" fillId="0" borderId="8" xfId="0" applyNumberFormat="1" applyFont="1" applyBorder="1" applyAlignment="1">
      <alignment horizontal="left" vertical="center" wrapText="1" indent="1"/>
    </xf>
    <xf numFmtId="164" fontId="16" fillId="0" borderId="30" xfId="0" applyNumberFormat="1" applyFont="1" applyBorder="1" applyAlignment="1">
      <alignment horizontal="left" vertical="center" wrapText="1" indent="1"/>
    </xf>
    <xf numFmtId="164" fontId="25" fillId="0" borderId="31" xfId="0" applyNumberFormat="1" applyFont="1" applyBorder="1" applyAlignment="1">
      <alignment horizontal="left" vertical="center" wrapText="1" indent="1"/>
    </xf>
    <xf numFmtId="164" fontId="26" fillId="0" borderId="2" xfId="0" applyNumberFormat="1" applyFont="1" applyBorder="1" applyAlignment="1">
      <alignment horizontal="right" vertical="center" wrapText="1" indent="1"/>
    </xf>
    <xf numFmtId="164" fontId="25" fillId="0" borderId="13" xfId="0" applyNumberFormat="1" applyFont="1" applyBorder="1" applyAlignment="1">
      <alignment horizontal="left" vertical="center" wrapText="1" indent="1"/>
    </xf>
    <xf numFmtId="164" fontId="26" fillId="0" borderId="3" xfId="0" applyNumberFormat="1" applyFont="1" applyBorder="1" applyAlignment="1">
      <alignment horizontal="right" vertical="center" wrapText="1" indent="1"/>
    </xf>
    <xf numFmtId="164" fontId="16" fillId="0" borderId="32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21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21" xfId="0" applyNumberFormat="1" applyFont="1" applyBorder="1" applyAlignment="1">
      <alignment horizontal="right" vertical="center" wrapText="1" indent="1"/>
    </xf>
    <xf numFmtId="164" fontId="15" fillId="0" borderId="0" xfId="0" applyNumberFormat="1" applyFont="1" applyAlignment="1">
      <alignment horizontal="right" vertical="center" wrapText="1" indent="1"/>
    </xf>
    <xf numFmtId="164" fontId="15" fillId="0" borderId="21" xfId="0" applyNumberFormat="1" applyFont="1" applyBorder="1" applyAlignment="1">
      <alignment horizontal="right" vertical="center" wrapText="1" indent="1"/>
    </xf>
    <xf numFmtId="0" fontId="17" fillId="0" borderId="0" xfId="0" applyFont="1" applyAlignment="1">
      <alignment horizont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 indent="1"/>
    </xf>
    <xf numFmtId="0" fontId="9" fillId="0" borderId="0" xfId="9"/>
    <xf numFmtId="0" fontId="9" fillId="0" borderId="0" xfId="9" applyAlignment="1">
      <alignment horizontal="right" vertical="center" inden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 indent="1"/>
    </xf>
    <xf numFmtId="164" fontId="0" fillId="0" borderId="33" xfId="0" applyNumberFormat="1" applyBorder="1" applyAlignment="1">
      <alignment horizontal="left" vertical="center" wrapText="1" indent="1"/>
    </xf>
    <xf numFmtId="164" fontId="16" fillId="0" borderId="7" xfId="0" applyNumberFormat="1" applyFont="1" applyBorder="1" applyAlignment="1">
      <alignment horizontal="left" vertical="center" wrapText="1" indent="1"/>
    </xf>
    <xf numFmtId="164" fontId="16" fillId="0" borderId="34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16" xfId="9" applyNumberFormat="1" applyFont="1" applyBorder="1" applyAlignment="1">
      <alignment horizontal="right" vertical="center" wrapText="1" indent="1"/>
    </xf>
    <xf numFmtId="164" fontId="15" fillId="0" borderId="14" xfId="9" applyNumberFormat="1" applyFont="1" applyBorder="1" applyAlignment="1">
      <alignment horizontal="right" vertical="center" wrapText="1" indent="1"/>
    </xf>
    <xf numFmtId="164" fontId="16" fillId="0" borderId="2" xfId="9" applyNumberFormat="1" applyFont="1" applyBorder="1" applyAlignment="1" applyProtection="1">
      <alignment horizontal="right" vertical="center" wrapText="1" indent="1"/>
      <protection locked="0"/>
    </xf>
    <xf numFmtId="164" fontId="16" fillId="0" borderId="3" xfId="9" applyNumberFormat="1" applyFont="1" applyBorder="1" applyAlignment="1" applyProtection="1">
      <alignment horizontal="right" vertical="center" wrapText="1" indent="1"/>
      <protection locked="0"/>
    </xf>
    <xf numFmtId="164" fontId="16" fillId="0" borderId="6" xfId="9" applyNumberFormat="1" applyFont="1" applyBorder="1" applyAlignment="1" applyProtection="1">
      <alignment horizontal="right" vertical="center" wrapText="1" indent="1"/>
      <protection locked="0"/>
    </xf>
    <xf numFmtId="164" fontId="23" fillId="0" borderId="2" xfId="9" applyNumberFormat="1" applyFont="1" applyBorder="1" applyAlignment="1" applyProtection="1">
      <alignment horizontal="right" vertical="center" wrapText="1" indent="1"/>
      <protection locked="0"/>
    </xf>
    <xf numFmtId="164" fontId="23" fillId="0" borderId="6" xfId="9" applyNumberFormat="1" applyFont="1" applyBorder="1" applyAlignment="1" applyProtection="1">
      <alignment horizontal="right" vertical="center" wrapText="1" indent="1"/>
      <protection locked="0"/>
    </xf>
    <xf numFmtId="164" fontId="22" fillId="0" borderId="14" xfId="9" applyNumberFormat="1" applyFont="1" applyBorder="1" applyAlignment="1">
      <alignment horizontal="right" vertical="center" wrapText="1" indent="1"/>
    </xf>
    <xf numFmtId="0" fontId="15" fillId="0" borderId="15" xfId="9" applyFont="1" applyBorder="1" applyAlignment="1">
      <alignment horizontal="center" vertical="center" wrapText="1"/>
    </xf>
    <xf numFmtId="0" fontId="15" fillId="0" borderId="16" xfId="9" applyFont="1" applyBorder="1" applyAlignment="1">
      <alignment horizontal="center" vertical="center" wrapText="1"/>
    </xf>
    <xf numFmtId="0" fontId="16" fillId="0" borderId="3" xfId="9" applyFont="1" applyBorder="1" applyAlignment="1">
      <alignment horizontal="left" vertical="center" wrapText="1" indent="6"/>
    </xf>
    <xf numFmtId="0" fontId="16" fillId="0" borderId="0" xfId="9" applyFont="1"/>
    <xf numFmtId="0" fontId="12" fillId="0" borderId="0" xfId="9" applyFont="1"/>
    <xf numFmtId="0" fontId="20" fillId="0" borderId="3" xfId="0" applyFont="1" applyBorder="1" applyAlignment="1">
      <alignment horizontal="left" wrapText="1" indent="1"/>
    </xf>
    <xf numFmtId="0" fontId="20" fillId="0" borderId="2" xfId="0" applyFont="1" applyBorder="1" applyAlignment="1">
      <alignment horizontal="left" wrapText="1" indent="1"/>
    </xf>
    <xf numFmtId="0" fontId="20" fillId="0" borderId="6" xfId="0" applyFont="1" applyBorder="1" applyAlignment="1">
      <alignment horizontal="left" wrapText="1" indent="1"/>
    </xf>
    <xf numFmtId="0" fontId="21" fillId="0" borderId="14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0" fontId="18" fillId="0" borderId="0" xfId="9" applyFont="1"/>
    <xf numFmtId="0" fontId="17" fillId="0" borderId="0" xfId="9" applyFont="1"/>
    <xf numFmtId="49" fontId="16" fillId="0" borderId="9" xfId="9" applyNumberFormat="1" applyFont="1" applyBorder="1" applyAlignment="1">
      <alignment horizontal="center" vertical="center" wrapText="1"/>
    </xf>
    <xf numFmtId="49" fontId="16" fillId="0" borderId="8" xfId="9" applyNumberFormat="1" applyFont="1" applyBorder="1" applyAlignment="1">
      <alignment horizontal="center" vertical="center" wrapText="1"/>
    </xf>
    <xf numFmtId="49" fontId="16" fillId="0" borderId="10" xfId="9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1" fillId="0" borderId="25" xfId="0" applyFont="1" applyBorder="1" applyAlignment="1">
      <alignment horizontal="center" wrapText="1"/>
    </xf>
    <xf numFmtId="49" fontId="16" fillId="0" borderId="11" xfId="9" applyNumberFormat="1" applyFont="1" applyBorder="1" applyAlignment="1">
      <alignment horizontal="center" vertical="center" wrapText="1"/>
    </xf>
    <xf numFmtId="49" fontId="16" fillId="0" borderId="7" xfId="9" applyNumberFormat="1" applyFont="1" applyBorder="1" applyAlignment="1">
      <alignment horizontal="center" vertical="center" wrapText="1"/>
    </xf>
    <xf numFmtId="49" fontId="16" fillId="0" borderId="12" xfId="9" applyNumberFormat="1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164" fontId="22" fillId="0" borderId="21" xfId="9" applyNumberFormat="1" applyFont="1" applyBorder="1" applyAlignment="1">
      <alignment horizontal="right" vertical="center" wrapText="1" indent="1"/>
    </xf>
    <xf numFmtId="49" fontId="23" fillId="0" borderId="11" xfId="0" applyNumberFormat="1" applyFont="1" applyBorder="1" applyAlignment="1">
      <alignment horizontal="center" vertical="center" wrapText="1"/>
    </xf>
    <xf numFmtId="49" fontId="23" fillId="0" borderId="8" xfId="0" applyNumberFormat="1" applyFont="1" applyBorder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0" fontId="23" fillId="0" borderId="3" xfId="9" applyFont="1" applyBorder="1" applyAlignment="1">
      <alignment horizontal="left" vertical="center" wrapText="1" indent="1"/>
    </xf>
    <xf numFmtId="0" fontId="23" fillId="0" borderId="2" xfId="9" applyFont="1" applyBorder="1" applyAlignment="1">
      <alignment horizontal="left" vertical="center" wrapText="1" indent="1"/>
    </xf>
    <xf numFmtId="164" fontId="23" fillId="0" borderId="3" xfId="9" applyNumberFormat="1" applyFont="1" applyBorder="1" applyAlignment="1" applyProtection="1">
      <alignment horizontal="right" vertical="center" wrapText="1" indent="1"/>
      <protection locked="0"/>
    </xf>
    <xf numFmtId="164" fontId="15" fillId="0" borderId="14" xfId="9" applyNumberFormat="1" applyFont="1" applyBorder="1" applyAlignment="1" applyProtection="1">
      <alignment horizontal="right" vertical="center" wrapText="1" indent="1"/>
      <protection locked="0"/>
    </xf>
    <xf numFmtId="164" fontId="15" fillId="0" borderId="21" xfId="9" applyNumberFormat="1" applyFont="1" applyBorder="1" applyAlignment="1" applyProtection="1">
      <alignment horizontal="right" vertical="center" wrapText="1" indent="1"/>
      <protection locked="0"/>
    </xf>
    <xf numFmtId="164" fontId="16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>
      <alignment vertical="center" wrapText="1"/>
    </xf>
    <xf numFmtId="0" fontId="15" fillId="0" borderId="18" xfId="9" applyFont="1" applyBorder="1" applyAlignment="1">
      <alignment vertical="center" wrapText="1"/>
    </xf>
    <xf numFmtId="0" fontId="16" fillId="0" borderId="17" xfId="9" applyFont="1" applyBorder="1" applyAlignment="1">
      <alignment horizontal="left" vertical="center" wrapText="1" indent="7"/>
    </xf>
    <xf numFmtId="164" fontId="26" fillId="0" borderId="1" xfId="0" applyNumberFormat="1" applyFont="1" applyBorder="1" applyAlignment="1">
      <alignment horizontal="right" vertical="center" wrapText="1" indent="1"/>
    </xf>
    <xf numFmtId="49" fontId="22" fillId="0" borderId="13" xfId="9" applyNumberFormat="1" applyFont="1" applyBorder="1" applyAlignment="1">
      <alignment horizontal="center" vertical="center" wrapText="1"/>
    </xf>
    <xf numFmtId="164" fontId="15" fillId="0" borderId="35" xfId="9" applyNumberFormat="1" applyFont="1" applyBorder="1" applyAlignment="1">
      <alignment horizontal="right" vertical="center" wrapText="1" indent="1"/>
    </xf>
    <xf numFmtId="164" fontId="16" fillId="0" borderId="36" xfId="9" applyNumberFormat="1" applyFont="1" applyBorder="1" applyAlignment="1" applyProtection="1">
      <alignment horizontal="right" vertical="center" wrapText="1" indent="1"/>
      <protection locked="0"/>
    </xf>
    <xf numFmtId="164" fontId="16" fillId="0" borderId="37" xfId="9" applyNumberFormat="1" applyFont="1" applyBorder="1" applyAlignment="1" applyProtection="1">
      <alignment horizontal="right" vertical="center" wrapText="1" indent="1"/>
      <protection locked="0"/>
    </xf>
    <xf numFmtId="164" fontId="15" fillId="0" borderId="38" xfId="9" applyNumberFormat="1" applyFont="1" applyBorder="1" applyAlignment="1">
      <alignment horizontal="right" vertical="center" wrapText="1" indent="1"/>
    </xf>
    <xf numFmtId="164" fontId="21" fillId="0" borderId="21" xfId="0" applyNumberFormat="1" applyFont="1" applyBorder="1" applyAlignment="1">
      <alignment horizontal="right" vertical="center" wrapText="1" indent="1"/>
    </xf>
    <xf numFmtId="164" fontId="21" fillId="0" borderId="21" xfId="0" applyNumberFormat="1" applyFont="1" applyBorder="1" applyAlignment="1" applyProtection="1">
      <alignment horizontal="right" vertical="center" wrapText="1" indent="1"/>
      <protection locked="0"/>
    </xf>
    <xf numFmtId="164" fontId="19" fillId="0" borderId="21" xfId="0" quotePrefix="1" applyNumberFormat="1" applyFont="1" applyBorder="1" applyAlignment="1">
      <alignment horizontal="right" vertical="center" wrapText="1" indent="1"/>
    </xf>
    <xf numFmtId="164" fontId="16" fillId="0" borderId="4" xfId="9" applyNumberFormat="1" applyFont="1" applyBorder="1" applyAlignment="1" applyProtection="1">
      <alignment horizontal="right" vertical="center" wrapText="1" indent="1"/>
      <protection locked="0"/>
    </xf>
    <xf numFmtId="164" fontId="16" fillId="0" borderId="17" xfId="9" applyNumberFormat="1" applyFont="1" applyBorder="1" applyAlignment="1" applyProtection="1">
      <alignment horizontal="right" vertical="center" wrapText="1" indent="1"/>
      <protection locked="0"/>
    </xf>
    <xf numFmtId="164" fontId="15" fillId="0" borderId="18" xfId="9" applyNumberFormat="1" applyFont="1" applyBorder="1" applyAlignment="1">
      <alignment horizontal="right" vertical="center" wrapText="1" indent="1"/>
    </xf>
    <xf numFmtId="164" fontId="21" fillId="0" borderId="14" xfId="0" applyNumberFormat="1" applyFont="1" applyBorder="1" applyAlignment="1">
      <alignment horizontal="right" vertical="center" wrapText="1" indent="1"/>
    </xf>
    <xf numFmtId="164" fontId="21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19" fillId="0" borderId="14" xfId="0" quotePrefix="1" applyNumberFormat="1" applyFont="1" applyBorder="1" applyAlignment="1">
      <alignment horizontal="right" vertical="center" wrapText="1" indent="1"/>
    </xf>
    <xf numFmtId="0" fontId="20" fillId="0" borderId="1" xfId="0" applyFont="1" applyBorder="1" applyAlignment="1">
      <alignment horizontal="left" vertical="center" wrapText="1" indent="1"/>
    </xf>
    <xf numFmtId="0" fontId="37" fillId="0" borderId="0" xfId="0" applyFont="1"/>
    <xf numFmtId="0" fontId="52" fillId="0" borderId="0" xfId="0" applyFont="1"/>
    <xf numFmtId="0" fontId="52" fillId="0" borderId="0" xfId="0" applyFont="1" applyAlignment="1">
      <alignment horizontal="justify" vertical="top" wrapText="1"/>
    </xf>
    <xf numFmtId="0" fontId="53" fillId="9" borderId="0" xfId="0" applyFont="1" applyFill="1" applyAlignment="1">
      <alignment horizontal="center" vertical="center"/>
    </xf>
    <xf numFmtId="0" fontId="53" fillId="9" borderId="0" xfId="0" applyFont="1" applyFill="1" applyAlignment="1">
      <alignment horizontal="center" vertical="top" wrapText="1"/>
    </xf>
    <xf numFmtId="0" fontId="38" fillId="0" borderId="0" xfId="0" applyFont="1"/>
    <xf numFmtId="0" fontId="2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164" fontId="54" fillId="0" borderId="0" xfId="0" applyNumberFormat="1" applyFont="1" applyAlignment="1">
      <alignment horizontal="right" vertical="center" wrapText="1" indent="1"/>
    </xf>
    <xf numFmtId="164" fontId="0" fillId="0" borderId="0" xfId="0" applyNumberFormat="1" applyAlignment="1" applyProtection="1">
      <alignment vertical="center" wrapText="1"/>
      <protection locked="0"/>
    </xf>
    <xf numFmtId="0" fontId="9" fillId="0" borderId="0" xfId="9" applyProtection="1">
      <protection locked="0"/>
    </xf>
    <xf numFmtId="0" fontId="9" fillId="0" borderId="0" xfId="9" applyAlignment="1" applyProtection="1">
      <alignment horizontal="right" vertical="center" inden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right" wrapText="1"/>
      <protection locked="0"/>
    </xf>
    <xf numFmtId="164" fontId="6" fillId="0" borderId="13" xfId="0" applyNumberFormat="1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center" vertical="center" wrapText="1"/>
      <protection locked="0"/>
    </xf>
    <xf numFmtId="0" fontId="35" fillId="0" borderId="0" xfId="0" applyFont="1"/>
    <xf numFmtId="0" fontId="51" fillId="0" borderId="0" xfId="4" applyAlignment="1" applyProtection="1"/>
    <xf numFmtId="0" fontId="37" fillId="0" borderId="0" xfId="0" applyFont="1" applyAlignment="1">
      <alignment horizontal="right"/>
    </xf>
    <xf numFmtId="0" fontId="0" fillId="0" borderId="0" xfId="0" applyProtection="1">
      <protection locked="0"/>
    </xf>
    <xf numFmtId="0" fontId="27" fillId="0" borderId="0" xfId="0" applyFont="1" applyAlignment="1">
      <alignment horizontal="center"/>
    </xf>
    <xf numFmtId="0" fontId="29" fillId="0" borderId="0" xfId="0" applyFont="1"/>
    <xf numFmtId="0" fontId="17" fillId="0" borderId="0" xfId="0" applyFont="1"/>
    <xf numFmtId="0" fontId="33" fillId="0" borderId="0" xfId="0" applyFont="1"/>
    <xf numFmtId="0" fontId="4" fillId="0" borderId="0" xfId="0" applyFont="1" applyAlignment="1" applyProtection="1">
      <alignment horizontal="right" vertical="center"/>
      <protection locked="0"/>
    </xf>
    <xf numFmtId="164" fontId="16" fillId="0" borderId="3" xfId="9" applyNumberFormat="1" applyFont="1" applyBorder="1" applyAlignment="1">
      <alignment horizontal="right" vertical="center" wrapText="1" indent="1"/>
    </xf>
    <xf numFmtId="164" fontId="16" fillId="0" borderId="23" xfId="9" applyNumberFormat="1" applyFont="1" applyBorder="1" applyAlignment="1">
      <alignment horizontal="right" vertical="center" wrapText="1" indent="1"/>
    </xf>
    <xf numFmtId="164" fontId="23" fillId="0" borderId="3" xfId="9" applyNumberFormat="1" applyFont="1" applyBorder="1" applyAlignment="1">
      <alignment horizontal="right" vertical="center" wrapText="1" indent="1"/>
    </xf>
    <xf numFmtId="164" fontId="23" fillId="0" borderId="2" xfId="9" applyNumberFormat="1" applyFont="1" applyBorder="1" applyAlignment="1">
      <alignment horizontal="right" vertical="center" wrapText="1" indent="1"/>
    </xf>
    <xf numFmtId="0" fontId="4" fillId="0" borderId="26" xfId="0" applyFont="1" applyBorder="1" applyAlignment="1">
      <alignment horizontal="right"/>
    </xf>
    <xf numFmtId="164" fontId="16" fillId="0" borderId="4" xfId="9" applyNumberFormat="1" applyFont="1" applyBorder="1" applyAlignment="1">
      <alignment horizontal="right" vertical="center" wrapText="1" indent="1"/>
    </xf>
    <xf numFmtId="164" fontId="16" fillId="0" borderId="2" xfId="9" applyNumberFormat="1" applyFont="1" applyBorder="1" applyAlignment="1">
      <alignment horizontal="right" vertical="center" wrapText="1" indent="1"/>
    </xf>
    <xf numFmtId="164" fontId="16" fillId="0" borderId="22" xfId="9" applyNumberFormat="1" applyFont="1" applyBorder="1" applyAlignment="1">
      <alignment horizontal="right" vertical="center" wrapText="1" indent="1"/>
    </xf>
    <xf numFmtId="164" fontId="16" fillId="0" borderId="6" xfId="9" applyNumberFormat="1" applyFont="1" applyBorder="1" applyAlignment="1">
      <alignment horizontal="right" vertical="center" wrapText="1" indent="1"/>
    </xf>
    <xf numFmtId="164" fontId="16" fillId="0" borderId="17" xfId="9" applyNumberFormat="1" applyFont="1" applyBorder="1" applyAlignment="1">
      <alignment horizontal="right" vertical="center" wrapText="1" indent="1"/>
    </xf>
    <xf numFmtId="164" fontId="16" fillId="0" borderId="40" xfId="9" applyNumberFormat="1" applyFont="1" applyBorder="1" applyAlignment="1" applyProtection="1">
      <alignment horizontal="right" vertical="center" wrapText="1" indent="1"/>
      <protection locked="0"/>
    </xf>
    <xf numFmtId="164" fontId="16" fillId="0" borderId="5" xfId="9" applyNumberFormat="1" applyFont="1" applyBorder="1" applyAlignment="1" applyProtection="1">
      <alignment horizontal="right" vertical="center" wrapText="1" indent="1"/>
      <protection locked="0"/>
    </xf>
    <xf numFmtId="164" fontId="16" fillId="0" borderId="41" xfId="9" applyNumberFormat="1" applyFont="1" applyBorder="1" applyAlignment="1" applyProtection="1">
      <alignment horizontal="right" vertical="center" wrapText="1" indent="1"/>
      <protection locked="0"/>
    </xf>
    <xf numFmtId="164" fontId="15" fillId="0" borderId="20" xfId="9" applyNumberFormat="1" applyFont="1" applyBorder="1" applyAlignment="1">
      <alignment horizontal="right" vertical="center" wrapText="1" indent="1"/>
    </xf>
    <xf numFmtId="164" fontId="22" fillId="0" borderId="20" xfId="9" applyNumberFormat="1" applyFont="1" applyBorder="1" applyAlignment="1">
      <alignment horizontal="right" vertical="center" wrapText="1" indent="1"/>
    </xf>
    <xf numFmtId="164" fontId="21" fillId="0" borderId="20" xfId="0" applyNumberFormat="1" applyFont="1" applyBorder="1" applyAlignment="1">
      <alignment horizontal="right" vertical="center" wrapText="1" indent="1"/>
    </xf>
    <xf numFmtId="164" fontId="21" fillId="0" borderId="20" xfId="0" applyNumberFormat="1" applyFont="1" applyBorder="1" applyAlignment="1" applyProtection="1">
      <alignment horizontal="right" vertical="center" wrapText="1" indent="1"/>
      <protection locked="0"/>
    </xf>
    <xf numFmtId="164" fontId="19" fillId="0" borderId="20" xfId="0" quotePrefix="1" applyNumberFormat="1" applyFont="1" applyBorder="1" applyAlignment="1">
      <alignment horizontal="right" vertical="center" wrapText="1" indent="1"/>
    </xf>
    <xf numFmtId="164" fontId="55" fillId="0" borderId="0" xfId="9" applyNumberFormat="1" applyFont="1" applyAlignment="1">
      <alignment horizontal="right" vertical="center" indent="1"/>
    </xf>
    <xf numFmtId="164" fontId="15" fillId="0" borderId="42" xfId="9" applyNumberFormat="1" applyFont="1" applyBorder="1" applyAlignment="1">
      <alignment horizontal="right" vertical="center" wrapText="1" indent="1"/>
    </xf>
    <xf numFmtId="164" fontId="5" fillId="0" borderId="0" xfId="0" applyNumberFormat="1" applyFont="1" applyAlignment="1" applyProtection="1">
      <alignment horizontal="centerContinuous" vertical="center" wrapText="1"/>
      <protection locked="0"/>
    </xf>
    <xf numFmtId="164" fontId="13" fillId="0" borderId="33" xfId="0" applyNumberFormat="1" applyFont="1" applyBorder="1" applyAlignment="1">
      <alignment horizontal="left" vertical="center" wrapText="1" indent="1"/>
    </xf>
    <xf numFmtId="164" fontId="13" fillId="0" borderId="29" xfId="0" applyNumberFormat="1" applyFont="1" applyBorder="1" applyAlignment="1">
      <alignment horizontal="left" vertical="center" wrapText="1" indent="1"/>
    </xf>
    <xf numFmtId="164" fontId="22" fillId="0" borderId="20" xfId="0" applyNumberFormat="1" applyFont="1" applyBorder="1" applyAlignment="1">
      <alignment horizontal="right" vertical="center" wrapText="1" indent="1"/>
    </xf>
    <xf numFmtId="164" fontId="24" fillId="0" borderId="14" xfId="0" applyNumberFormat="1" applyFont="1" applyBorder="1" applyAlignment="1">
      <alignment horizontal="right" vertical="center" wrapText="1" indent="1"/>
    </xf>
    <xf numFmtId="164" fontId="24" fillId="0" borderId="21" xfId="0" applyNumberFormat="1" applyFont="1" applyBorder="1" applyAlignment="1">
      <alignment horizontal="right" vertical="center" wrapText="1" indent="1"/>
    </xf>
    <xf numFmtId="164" fontId="16" fillId="0" borderId="4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1" xfId="0" applyNumberFormat="1" applyFont="1" applyBorder="1" applyAlignment="1" applyProtection="1">
      <alignment horizontal="right" vertical="center" wrapText="1" indent="1"/>
      <protection locked="0"/>
    </xf>
    <xf numFmtId="164" fontId="23" fillId="0" borderId="3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0" applyFont="1" applyAlignment="1">
      <alignment horizontal="center"/>
    </xf>
    <xf numFmtId="3" fontId="30" fillId="0" borderId="0" xfId="0" applyNumberFormat="1" applyFont="1" applyAlignment="1">
      <alignment horizontal="right" indent="1"/>
    </xf>
    <xf numFmtId="0" fontId="30" fillId="0" borderId="0" xfId="0" applyFont="1" applyAlignment="1">
      <alignment horizontal="right" indent="1"/>
    </xf>
    <xf numFmtId="3" fontId="24" fillId="0" borderId="0" xfId="0" applyNumberFormat="1" applyFont="1" applyAlignment="1">
      <alignment horizontal="right" indent="1"/>
    </xf>
    <xf numFmtId="164" fontId="23" fillId="0" borderId="6" xfId="9" applyNumberFormat="1" applyFont="1" applyBorder="1" applyAlignment="1">
      <alignment horizontal="right" vertical="center" wrapText="1" indent="1"/>
    </xf>
    <xf numFmtId="0" fontId="20" fillId="0" borderId="17" xfId="0" applyFont="1" applyBorder="1" applyAlignment="1">
      <alignment wrapText="1"/>
    </xf>
    <xf numFmtId="0" fontId="56" fillId="0" borderId="0" xfId="0" applyFont="1"/>
    <xf numFmtId="0" fontId="6" fillId="0" borderId="43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44" xfId="9" applyFont="1" applyBorder="1" applyAlignment="1" applyProtection="1">
      <alignment horizontal="center" vertical="center" wrapText="1"/>
      <protection locked="0"/>
    </xf>
    <xf numFmtId="0" fontId="15" fillId="0" borderId="45" xfId="9" applyFont="1" applyBorder="1" applyAlignment="1">
      <alignment horizontal="center" vertical="center" wrapText="1"/>
    </xf>
    <xf numFmtId="0" fontId="15" fillId="0" borderId="20" xfId="9" applyFont="1" applyBorder="1" applyAlignment="1">
      <alignment horizontal="center" vertical="center" wrapText="1"/>
    </xf>
    <xf numFmtId="0" fontId="16" fillId="0" borderId="17" xfId="9" applyFont="1" applyBorder="1" applyAlignment="1">
      <alignment horizontal="left" vertical="center" wrapText="1" indent="1"/>
    </xf>
    <xf numFmtId="164" fontId="0" fillId="0" borderId="0" xfId="0" applyNumberFormat="1" applyAlignment="1" applyProtection="1">
      <alignment horizontal="centerContinuous" vertical="center"/>
      <protection locked="0"/>
    </xf>
    <xf numFmtId="164" fontId="4" fillId="0" borderId="0" xfId="0" applyNumberFormat="1" applyFont="1" applyAlignment="1" applyProtection="1">
      <alignment horizontal="right" vertical="center"/>
      <protection locked="0"/>
    </xf>
    <xf numFmtId="164" fontId="6" fillId="0" borderId="13" xfId="0" applyNumberFormat="1" applyFont="1" applyBorder="1" applyAlignment="1" applyProtection="1">
      <alignment horizontal="centerContinuous" vertical="center" wrapText="1"/>
      <protection locked="0"/>
    </xf>
    <xf numFmtId="164" fontId="6" fillId="0" borderId="14" xfId="0" applyNumberFormat="1" applyFont="1" applyBorder="1" applyAlignment="1" applyProtection="1">
      <alignment horizontal="centerContinuous" vertical="center" wrapText="1"/>
      <protection locked="0"/>
    </xf>
    <xf numFmtId="164" fontId="6" fillId="0" borderId="20" xfId="0" applyNumberFormat="1" applyFont="1" applyBorder="1" applyAlignment="1" applyProtection="1">
      <alignment horizontal="centerContinuous" vertical="center" wrapText="1"/>
      <protection locked="0"/>
    </xf>
    <xf numFmtId="164" fontId="6" fillId="0" borderId="19" xfId="0" applyNumberFormat="1" applyFont="1" applyBorder="1" applyAlignment="1" applyProtection="1">
      <alignment horizontal="centerContinuous" vertical="center" wrapText="1"/>
      <protection locked="0"/>
    </xf>
    <xf numFmtId="164" fontId="6" fillId="0" borderId="46" xfId="0" applyNumberFormat="1" applyFont="1" applyBorder="1" applyAlignment="1" applyProtection="1">
      <alignment horizontal="centerContinuous" vertical="center" wrapText="1"/>
      <protection locked="0"/>
    </xf>
    <xf numFmtId="164" fontId="6" fillId="0" borderId="35" xfId="0" applyNumberFormat="1" applyFont="1" applyBorder="1" applyAlignment="1" applyProtection="1">
      <alignment horizontal="centerContinuous" vertical="center" wrapText="1"/>
      <protection locked="0"/>
    </xf>
    <xf numFmtId="164" fontId="6" fillId="0" borderId="20" xfId="0" applyNumberFormat="1" applyFont="1" applyBorder="1" applyAlignment="1" applyProtection="1">
      <alignment horizontal="center" vertical="center" wrapText="1"/>
      <protection locked="0"/>
    </xf>
    <xf numFmtId="164" fontId="6" fillId="0" borderId="21" xfId="0" applyNumberFormat="1" applyFont="1" applyBorder="1" applyAlignment="1" applyProtection="1">
      <alignment horizontal="center" vertical="center" wrapText="1"/>
      <protection locked="0"/>
    </xf>
    <xf numFmtId="164" fontId="22" fillId="0" borderId="31" xfId="0" applyNumberFormat="1" applyFont="1" applyBorder="1" applyAlignment="1" applyProtection="1">
      <alignment horizontal="center" vertical="center" wrapText="1"/>
      <protection locked="0"/>
    </xf>
    <xf numFmtId="164" fontId="22" fillId="0" borderId="13" xfId="0" applyNumberFormat="1" applyFont="1" applyBorder="1" applyAlignment="1" applyProtection="1">
      <alignment horizontal="center" vertical="center" wrapText="1"/>
      <protection locked="0"/>
    </xf>
    <xf numFmtId="164" fontId="22" fillId="0" borderId="14" xfId="0" applyNumberFormat="1" applyFont="1" applyBorder="1" applyAlignment="1" applyProtection="1">
      <alignment horizontal="center" vertical="center" wrapText="1"/>
      <protection locked="0"/>
    </xf>
    <xf numFmtId="164" fontId="22" fillId="0" borderId="20" xfId="0" applyNumberFormat="1" applyFont="1" applyBorder="1" applyAlignment="1" applyProtection="1">
      <alignment horizontal="center" vertical="center" wrapText="1"/>
      <protection locked="0"/>
    </xf>
    <xf numFmtId="164" fontId="22" fillId="0" borderId="21" xfId="0" applyNumberFormat="1" applyFont="1" applyBorder="1" applyAlignment="1" applyProtection="1">
      <alignment horizontal="center" vertical="center" wrapText="1"/>
      <protection locked="0"/>
    </xf>
    <xf numFmtId="164" fontId="16" fillId="0" borderId="23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22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24" xfId="0" applyNumberFormat="1" applyFont="1" applyBorder="1" applyAlignment="1" applyProtection="1">
      <alignment horizontal="right" vertical="center" wrapText="1" indent="1"/>
      <protection locked="0"/>
    </xf>
    <xf numFmtId="164" fontId="23" fillId="0" borderId="45" xfId="0" applyNumberFormat="1" applyFont="1" applyBorder="1" applyAlignment="1" applyProtection="1">
      <alignment horizontal="right" vertical="center" wrapText="1" indent="1"/>
      <protection locked="0"/>
    </xf>
    <xf numFmtId="164" fontId="23" fillId="0" borderId="22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45" xfId="0" applyNumberFormat="1" applyFont="1" applyBorder="1" applyAlignment="1" applyProtection="1">
      <alignment horizontal="center" vertical="center" wrapText="1"/>
      <protection locked="0"/>
    </xf>
    <xf numFmtId="164" fontId="16" fillId="0" borderId="45" xfId="0" applyNumberFormat="1" applyFont="1" applyBorder="1" applyAlignment="1" applyProtection="1">
      <alignment horizontal="right" vertical="center" wrapText="1" indent="1"/>
      <protection locked="0"/>
    </xf>
    <xf numFmtId="164" fontId="23" fillId="0" borderId="23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25" xfId="0" applyNumberFormat="1" applyFont="1" applyBorder="1" applyAlignment="1" applyProtection="1">
      <alignment horizontal="center" vertical="center" wrapText="1"/>
      <protection locked="0"/>
    </xf>
    <xf numFmtId="164" fontId="15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1" xfId="0" quotePrefix="1" applyFont="1" applyBorder="1" applyAlignment="1" applyProtection="1">
      <alignment horizontal="right" vertical="center" indent="1"/>
      <protection locked="0"/>
    </xf>
    <xf numFmtId="49" fontId="6" fillId="0" borderId="31" xfId="0" applyNumberFormat="1" applyFont="1" applyBorder="1" applyAlignment="1" applyProtection="1">
      <alignment horizontal="right" vertical="center" inden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15" fillId="0" borderId="47" xfId="0" applyFont="1" applyBorder="1" applyAlignment="1">
      <alignment horizontal="center" vertical="center" wrapText="1"/>
    </xf>
    <xf numFmtId="164" fontId="23" fillId="0" borderId="37" xfId="9" applyNumberFormat="1" applyFont="1" applyBorder="1" applyAlignment="1" applyProtection="1">
      <alignment horizontal="right" vertical="center" wrapText="1" indent="1"/>
      <protection locked="0"/>
    </xf>
    <xf numFmtId="3" fontId="3" fillId="0" borderId="21" xfId="0" applyNumberFormat="1" applyFont="1" applyBorder="1" applyAlignment="1" applyProtection="1">
      <alignment horizontal="right" vertical="center" wrapText="1" indent="1"/>
      <protection locked="0"/>
    </xf>
    <xf numFmtId="0" fontId="3" fillId="0" borderId="25" xfId="0" applyFont="1" applyBorder="1" applyAlignment="1">
      <alignment horizontal="left" vertical="center"/>
    </xf>
    <xf numFmtId="0" fontId="3" fillId="0" borderId="48" xfId="0" applyFont="1" applyBorder="1" applyAlignment="1">
      <alignment vertical="center" wrapText="1"/>
    </xf>
    <xf numFmtId="0" fontId="6" fillId="0" borderId="13" xfId="0" applyFont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Border="1" applyAlignment="1" applyProtection="1">
      <alignment horizontal="right" vertical="center" indent="1"/>
      <protection locked="0"/>
    </xf>
    <xf numFmtId="0" fontId="15" fillId="0" borderId="47" xfId="0" applyFont="1" applyBorder="1" applyAlignment="1" applyProtection="1">
      <alignment horizontal="center" vertical="center" wrapText="1"/>
      <protection locked="0"/>
    </xf>
    <xf numFmtId="164" fontId="16" fillId="0" borderId="36" xfId="0" applyNumberFormat="1" applyFont="1" applyBorder="1" applyAlignment="1" applyProtection="1">
      <alignment horizontal="right" vertical="center" wrapText="1" indent="1"/>
      <protection locked="0"/>
    </xf>
    <xf numFmtId="164" fontId="23" fillId="0" borderId="37" xfId="0" applyNumberFormat="1" applyFont="1" applyBorder="1" applyAlignment="1" applyProtection="1">
      <alignment horizontal="right" vertical="center" wrapText="1" indent="1"/>
      <protection locked="0"/>
    </xf>
    <xf numFmtId="164" fontId="15" fillId="0" borderId="14" xfId="0" applyNumberFormat="1" applyFont="1" applyBorder="1" applyAlignment="1">
      <alignment horizontal="right" vertical="center" wrapText="1" indent="1"/>
    </xf>
    <xf numFmtId="164" fontId="15" fillId="0" borderId="20" xfId="0" applyNumberFormat="1" applyFont="1" applyBorder="1" applyAlignment="1">
      <alignment horizontal="right" vertical="center" wrapText="1" indent="1"/>
    </xf>
    <xf numFmtId="164" fontId="16" fillId="0" borderId="2" xfId="0" applyNumberFormat="1" applyFont="1" applyBorder="1" applyAlignment="1" applyProtection="1">
      <alignment horizontal="left" vertical="center" wrapText="1" indent="1"/>
      <protection locked="0"/>
    </xf>
    <xf numFmtId="164" fontId="16" fillId="0" borderId="2" xfId="0" applyNumberFormat="1" applyFont="1" applyBorder="1" applyAlignment="1" applyProtection="1">
      <alignment horizontal="center" vertical="center" wrapText="1"/>
      <protection locked="0"/>
    </xf>
    <xf numFmtId="164" fontId="16" fillId="0" borderId="6" xfId="0" applyNumberFormat="1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0" fillId="0" borderId="0" xfId="0" applyNumberFormat="1" applyAlignment="1">
      <alignment horizontal="right" vertical="center" wrapText="1" indent="1"/>
    </xf>
    <xf numFmtId="164" fontId="16" fillId="0" borderId="40" xfId="9" applyNumberFormat="1" applyFont="1" applyBorder="1" applyAlignment="1">
      <alignment horizontal="right" vertical="center" wrapText="1" indent="1"/>
    </xf>
    <xf numFmtId="164" fontId="16" fillId="0" borderId="5" xfId="9" applyNumberFormat="1" applyFont="1" applyBorder="1" applyAlignment="1">
      <alignment horizontal="right" vertical="center" wrapText="1" indent="1"/>
    </xf>
    <xf numFmtId="164" fontId="16" fillId="0" borderId="41" xfId="9" applyNumberFormat="1" applyFont="1" applyBorder="1" applyAlignment="1">
      <alignment horizontal="right" vertical="center" wrapText="1" indent="1"/>
    </xf>
    <xf numFmtId="164" fontId="16" fillId="0" borderId="43" xfId="9" applyNumberFormat="1" applyFont="1" applyBorder="1" applyAlignment="1">
      <alignment horizontal="right" vertical="center" wrapText="1" indent="1"/>
    </xf>
    <xf numFmtId="164" fontId="6" fillId="0" borderId="20" xfId="0" applyNumberFormat="1" applyFont="1" applyBorder="1" applyAlignment="1">
      <alignment horizontal="center" vertical="center" wrapText="1"/>
    </xf>
    <xf numFmtId="164" fontId="22" fillId="0" borderId="16" xfId="0" applyNumberFormat="1" applyFont="1" applyBorder="1" applyAlignment="1">
      <alignment horizontal="center" vertical="center" wrapText="1"/>
    </xf>
    <xf numFmtId="0" fontId="25" fillId="10" borderId="0" xfId="0" applyFont="1" applyFill="1" applyProtection="1">
      <protection locked="0"/>
    </xf>
    <xf numFmtId="164" fontId="23" fillId="0" borderId="7" xfId="0" applyNumberFormat="1" applyFont="1" applyBorder="1" applyAlignment="1">
      <alignment horizontal="left" vertical="center" wrapText="1" indent="1"/>
    </xf>
    <xf numFmtId="164" fontId="23" fillId="0" borderId="8" xfId="0" applyNumberFormat="1" applyFont="1" applyBorder="1" applyAlignment="1">
      <alignment horizontal="left" vertical="center" wrapText="1" indent="1"/>
    </xf>
    <xf numFmtId="164" fontId="23" fillId="0" borderId="8" xfId="0" applyNumberFormat="1" applyFont="1" applyBorder="1" applyAlignment="1">
      <alignment horizontal="left" vertical="center" wrapText="1" indent="2"/>
    </xf>
    <xf numFmtId="164" fontId="26" fillId="0" borderId="7" xfId="0" applyNumberFormat="1" applyFont="1" applyBorder="1" applyAlignment="1">
      <alignment horizontal="left" vertical="center" wrapText="1" indent="1"/>
    </xf>
    <xf numFmtId="164" fontId="23" fillId="0" borderId="9" xfId="0" applyNumberFormat="1" applyFont="1" applyBorder="1" applyAlignment="1">
      <alignment horizontal="left" vertical="center" wrapText="1" indent="1"/>
    </xf>
    <xf numFmtId="164" fontId="16" fillId="0" borderId="9" xfId="0" applyNumberFormat="1" applyFont="1" applyBorder="1" applyAlignment="1">
      <alignment horizontal="left" vertical="center" wrapText="1" indent="2"/>
    </xf>
    <xf numFmtId="164" fontId="23" fillId="0" borderId="34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52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12" xfId="0" applyNumberFormat="1" applyFont="1" applyBorder="1" applyAlignment="1" applyProtection="1">
      <alignment horizontal="left" vertical="center" wrapText="1" indent="1"/>
      <protection locked="0"/>
    </xf>
    <xf numFmtId="164" fontId="23" fillId="0" borderId="27" xfId="0" applyNumberFormat="1" applyFont="1" applyBorder="1" applyAlignment="1" applyProtection="1">
      <alignment horizontal="right" vertical="center" wrapText="1" indent="1"/>
      <protection locked="0"/>
    </xf>
    <xf numFmtId="164" fontId="23" fillId="0" borderId="8" xfId="0" applyNumberFormat="1" applyFont="1" applyBorder="1" applyAlignment="1">
      <alignment horizontal="left" vertical="center" wrapText="1" indent="3"/>
    </xf>
    <xf numFmtId="164" fontId="23" fillId="0" borderId="9" xfId="0" applyNumberFormat="1" applyFont="1" applyBorder="1" applyAlignment="1">
      <alignment horizontal="left" vertical="center" wrapText="1" indent="3"/>
    </xf>
    <xf numFmtId="164" fontId="23" fillId="0" borderId="7" xfId="0" applyNumberFormat="1" applyFont="1" applyBorder="1" applyAlignment="1">
      <alignment horizontal="left" vertical="center" wrapText="1" indent="3"/>
    </xf>
    <xf numFmtId="164" fontId="16" fillId="0" borderId="25" xfId="0" applyNumberFormat="1" applyFont="1" applyBorder="1" applyAlignment="1">
      <alignment horizontal="left" vertical="center" wrapText="1" indent="1"/>
    </xf>
    <xf numFmtId="164" fontId="23" fillId="0" borderId="9" xfId="0" applyNumberFormat="1" applyFont="1" applyBorder="1" applyAlignment="1">
      <alignment horizontal="left" vertical="center" wrapText="1" indent="2"/>
    </xf>
    <xf numFmtId="164" fontId="26" fillId="0" borderId="9" xfId="0" applyNumberFormat="1" applyFont="1" applyBorder="1" applyAlignment="1">
      <alignment horizontal="left" vertical="center" wrapText="1" indent="1"/>
    </xf>
    <xf numFmtId="164" fontId="16" fillId="0" borderId="7" xfId="0" applyNumberFormat="1" applyFont="1" applyBorder="1" applyAlignment="1">
      <alignment horizontal="left" vertical="center" wrapText="1" indent="2"/>
    </xf>
    <xf numFmtId="164" fontId="23" fillId="0" borderId="9" xfId="0" applyNumberFormat="1" applyFont="1" applyBorder="1" applyAlignment="1" applyProtection="1">
      <alignment horizontal="left" vertical="center" wrapText="1" indent="1"/>
      <protection locked="0"/>
    </xf>
    <xf numFmtId="164" fontId="16" fillId="0" borderId="9" xfId="0" applyNumberFormat="1" applyFont="1" applyBorder="1" applyAlignment="1" applyProtection="1">
      <alignment horizontal="left" vertical="center" wrapText="1" indent="1"/>
      <protection locked="0"/>
    </xf>
    <xf numFmtId="164" fontId="16" fillId="0" borderId="7" xfId="0" applyNumberFormat="1" applyFont="1" applyBorder="1" applyAlignment="1" applyProtection="1">
      <alignment horizontal="left" vertical="center" wrapText="1" indent="1"/>
      <protection locked="0"/>
    </xf>
    <xf numFmtId="0" fontId="51" fillId="0" borderId="0" xfId="4" quotePrefix="1" applyAlignment="1" applyProtection="1"/>
    <xf numFmtId="0" fontId="20" fillId="0" borderId="17" xfId="0" applyFont="1" applyBorder="1" applyAlignment="1">
      <alignment horizontal="left" vertical="center" wrapText="1" indent="1"/>
    </xf>
    <xf numFmtId="0" fontId="42" fillId="0" borderId="3" xfId="0" applyFont="1" applyBorder="1" applyAlignment="1">
      <alignment horizontal="left" wrapText="1" indent="1"/>
    </xf>
    <xf numFmtId="49" fontId="15" fillId="0" borderId="13" xfId="0" applyNumberFormat="1" applyFont="1" applyBorder="1" applyAlignment="1">
      <alignment horizontal="center" vertical="center" wrapText="1"/>
    </xf>
    <xf numFmtId="0" fontId="16" fillId="0" borderId="8" xfId="9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1" fontId="16" fillId="0" borderId="9" xfId="9" applyNumberFormat="1" applyFont="1" applyBorder="1" applyAlignment="1">
      <alignment horizontal="center" vertical="center" wrapText="1"/>
    </xf>
    <xf numFmtId="1" fontId="16" fillId="0" borderId="10" xfId="9" applyNumberFormat="1" applyFont="1" applyBorder="1" applyAlignment="1">
      <alignment horizontal="center" vertical="center" wrapText="1"/>
    </xf>
    <xf numFmtId="1" fontId="21" fillId="0" borderId="13" xfId="0" applyNumberFormat="1" applyFont="1" applyBorder="1" applyAlignment="1">
      <alignment horizontal="center" vertical="center" wrapText="1"/>
    </xf>
    <xf numFmtId="1" fontId="16" fillId="0" borderId="8" xfId="9" applyNumberFormat="1" applyFont="1" applyBorder="1" applyAlignment="1">
      <alignment horizontal="center" vertical="center" wrapText="1"/>
    </xf>
    <xf numFmtId="1" fontId="20" fillId="0" borderId="9" xfId="0" applyNumberFormat="1" applyFont="1" applyBorder="1" applyAlignment="1">
      <alignment horizontal="center" wrapText="1"/>
    </xf>
    <xf numFmtId="1" fontId="20" fillId="0" borderId="8" xfId="0" applyNumberFormat="1" applyFont="1" applyBorder="1" applyAlignment="1">
      <alignment horizontal="center" wrapText="1"/>
    </xf>
    <xf numFmtId="1" fontId="20" fillId="0" borderId="10" xfId="0" applyNumberFormat="1" applyFont="1" applyBorder="1" applyAlignment="1">
      <alignment horizontal="center" wrapText="1"/>
    </xf>
    <xf numFmtId="1" fontId="21" fillId="0" borderId="25" xfId="0" applyNumberFormat="1" applyFont="1" applyBorder="1" applyAlignment="1">
      <alignment horizontal="center" vertical="center" wrapText="1"/>
    </xf>
    <xf numFmtId="1" fontId="21" fillId="0" borderId="25" xfId="0" applyNumberFormat="1" applyFont="1" applyBorder="1" applyAlignment="1">
      <alignment horizontal="center" vertical="top" wrapText="1"/>
    </xf>
    <xf numFmtId="0" fontId="21" fillId="0" borderId="18" xfId="0" applyFont="1" applyBorder="1" applyAlignment="1">
      <alignment vertical="top" wrapText="1"/>
    </xf>
    <xf numFmtId="1" fontId="16" fillId="0" borderId="12" xfId="9" applyNumberFormat="1" applyFont="1" applyBorder="1" applyAlignment="1">
      <alignment horizontal="center" vertical="center" wrapText="1"/>
    </xf>
    <xf numFmtId="164" fontId="23" fillId="0" borderId="53" xfId="9" applyNumberFormat="1" applyFont="1" applyBorder="1" applyAlignment="1">
      <alignment horizontal="right" vertical="center" wrapText="1" indent="1"/>
    </xf>
    <xf numFmtId="164" fontId="15" fillId="11" borderId="14" xfId="9" applyNumberFormat="1" applyFont="1" applyFill="1" applyBorder="1" applyAlignment="1">
      <alignment horizontal="right" vertical="center" wrapText="1" indent="1"/>
    </xf>
    <xf numFmtId="164" fontId="23" fillId="11" borderId="1" xfId="9" applyNumberFormat="1" applyFont="1" applyFill="1" applyBorder="1" applyAlignment="1">
      <alignment horizontal="right" vertical="center" wrapText="1" indent="1"/>
    </xf>
    <xf numFmtId="164" fontId="22" fillId="11" borderId="14" xfId="9" applyNumberFormat="1" applyFont="1" applyFill="1" applyBorder="1" applyAlignment="1">
      <alignment horizontal="right" vertical="center" wrapText="1" indent="1"/>
    </xf>
    <xf numFmtId="0" fontId="15" fillId="0" borderId="19" xfId="9" applyFont="1" applyBorder="1" applyAlignment="1">
      <alignment horizontal="center" vertical="center" wrapText="1"/>
    </xf>
    <xf numFmtId="164" fontId="16" fillId="0" borderId="54" xfId="9" applyNumberFormat="1" applyFont="1" applyBorder="1" applyAlignment="1">
      <alignment horizontal="right" vertical="center" wrapText="1" indent="1"/>
    </xf>
    <xf numFmtId="164" fontId="22" fillId="11" borderId="20" xfId="9" applyNumberFormat="1" applyFont="1" applyFill="1" applyBorder="1" applyAlignment="1">
      <alignment horizontal="right" vertical="center" wrapText="1" indent="1"/>
    </xf>
    <xf numFmtId="164" fontId="16" fillId="11" borderId="2" xfId="9" applyNumberFormat="1" applyFont="1" applyFill="1" applyBorder="1" applyAlignment="1">
      <alignment horizontal="right" vertical="center" wrapText="1" indent="1"/>
    </xf>
    <xf numFmtId="164" fontId="16" fillId="0" borderId="55" xfId="9" applyNumberFormat="1" applyFont="1" applyBorder="1" applyAlignment="1" applyProtection="1">
      <alignment horizontal="right" vertical="center" wrapText="1" indent="1"/>
      <protection locked="0"/>
    </xf>
    <xf numFmtId="164" fontId="23" fillId="0" borderId="56" xfId="9" applyNumberFormat="1" applyFont="1" applyBorder="1" applyAlignment="1" applyProtection="1">
      <alignment horizontal="right" vertical="center" wrapText="1" indent="1"/>
      <protection locked="0"/>
    </xf>
    <xf numFmtId="164" fontId="22" fillId="0" borderId="57" xfId="9" applyNumberFormat="1" applyFont="1" applyBorder="1" applyAlignment="1">
      <alignment horizontal="right" vertical="center" wrapText="1" indent="1"/>
    </xf>
    <xf numFmtId="0" fontId="43" fillId="0" borderId="0" xfId="9" applyFont="1" applyAlignment="1">
      <alignment horizontal="center"/>
    </xf>
    <xf numFmtId="0" fontId="43" fillId="0" borderId="0" xfId="9" applyFont="1" applyAlignment="1">
      <alignment horizontal="right"/>
    </xf>
    <xf numFmtId="164" fontId="23" fillId="11" borderId="2" xfId="9" applyNumberFormat="1" applyFont="1" applyFill="1" applyBorder="1" applyAlignment="1">
      <alignment horizontal="right" vertical="center" wrapText="1" indent="1"/>
    </xf>
    <xf numFmtId="164" fontId="15" fillId="0" borderId="13" xfId="9" applyNumberFormat="1" applyFont="1" applyBorder="1" applyAlignment="1">
      <alignment horizontal="right" vertical="center" wrapText="1" indent="1"/>
    </xf>
    <xf numFmtId="164" fontId="22" fillId="12" borderId="58" xfId="9" applyNumberFormat="1" applyFont="1" applyFill="1" applyBorder="1" applyAlignment="1">
      <alignment horizontal="right" vertical="center" wrapText="1" indent="1"/>
    </xf>
    <xf numFmtId="0" fontId="21" fillId="0" borderId="20" xfId="0" applyFont="1" applyBorder="1" applyAlignment="1">
      <alignment wrapText="1"/>
    </xf>
    <xf numFmtId="0" fontId="15" fillId="0" borderId="25" xfId="9" applyFont="1" applyBorder="1" applyAlignment="1">
      <alignment horizontal="center" vertical="center" wrapText="1"/>
    </xf>
    <xf numFmtId="1" fontId="16" fillId="0" borderId="7" xfId="9" applyNumberFormat="1" applyFont="1" applyBorder="1" applyAlignment="1">
      <alignment horizontal="center" vertical="center" wrapText="1"/>
    </xf>
    <xf numFmtId="1" fontId="15" fillId="0" borderId="13" xfId="9" applyNumberFormat="1" applyFont="1" applyBorder="1" applyAlignment="1">
      <alignment horizontal="center" vertical="center" wrapText="1"/>
    </xf>
    <xf numFmtId="164" fontId="22" fillId="0" borderId="14" xfId="9" applyNumberFormat="1" applyFont="1" applyBorder="1" applyAlignment="1">
      <alignment horizontal="right" vertical="top" wrapText="1" indent="1"/>
    </xf>
    <xf numFmtId="164" fontId="22" fillId="0" borderId="21" xfId="9" applyNumberFormat="1" applyFont="1" applyBorder="1" applyAlignment="1">
      <alignment horizontal="right" vertical="top" wrapText="1" indent="1"/>
    </xf>
    <xf numFmtId="0" fontId="25" fillId="0" borderId="16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164" fontId="36" fillId="0" borderId="22" xfId="0" applyNumberFormat="1" applyFont="1" applyBorder="1" applyAlignment="1">
      <alignment horizontal="right" vertical="center" indent="1"/>
    </xf>
    <xf numFmtId="164" fontId="3" fillId="0" borderId="21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43" xfId="9" applyNumberFormat="1" applyFont="1" applyBorder="1" applyAlignment="1" applyProtection="1">
      <alignment horizontal="right" vertical="center" wrapText="1" indent="1"/>
      <protection locked="0"/>
    </xf>
    <xf numFmtId="164" fontId="23" fillId="0" borderId="5" xfId="9" applyNumberFormat="1" applyFont="1" applyBorder="1" applyAlignment="1" applyProtection="1">
      <alignment horizontal="right" vertical="center" wrapText="1" indent="1"/>
      <protection locked="0"/>
    </xf>
    <xf numFmtId="164" fontId="23" fillId="0" borderId="41" xfId="9" applyNumberFormat="1" applyFont="1" applyBorder="1" applyAlignment="1" applyProtection="1">
      <alignment horizontal="right" vertical="center" wrapText="1" indent="1"/>
      <protection locked="0"/>
    </xf>
    <xf numFmtId="164" fontId="23" fillId="0" borderId="40" xfId="9" applyNumberFormat="1" applyFont="1" applyBorder="1" applyAlignment="1" applyProtection="1">
      <alignment horizontal="right" vertical="center" wrapText="1" indent="1"/>
      <protection locked="0"/>
    </xf>
    <xf numFmtId="164" fontId="23" fillId="0" borderId="43" xfId="9" applyNumberFormat="1" applyFont="1" applyBorder="1" applyAlignment="1" applyProtection="1">
      <alignment horizontal="right" vertical="center" wrapText="1" indent="1"/>
      <protection locked="0"/>
    </xf>
    <xf numFmtId="164" fontId="16" fillId="0" borderId="5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20" xfId="0" applyNumberFormat="1" applyFont="1" applyBorder="1" applyAlignment="1" applyProtection="1">
      <alignment horizontal="right" vertical="center" wrapText="1" indent="1"/>
      <protection locked="0"/>
    </xf>
    <xf numFmtId="0" fontId="25" fillId="0" borderId="0" xfId="0" applyFont="1"/>
    <xf numFmtId="164" fontId="16" fillId="0" borderId="1" xfId="9" applyNumberFormat="1" applyFont="1" applyBorder="1" applyAlignment="1" applyProtection="1">
      <alignment horizontal="right" vertical="center" wrapText="1" indent="1"/>
      <protection locked="0"/>
    </xf>
    <xf numFmtId="164" fontId="26" fillId="0" borderId="2" xfId="9" applyNumberFormat="1" applyFont="1" applyBorder="1" applyAlignment="1">
      <alignment horizontal="right" vertical="center" wrapText="1" indent="1"/>
    </xf>
    <xf numFmtId="164" fontId="23" fillId="0" borderId="17" xfId="9" applyNumberFormat="1" applyFont="1" applyBorder="1" applyAlignment="1" applyProtection="1">
      <alignment horizontal="right" vertical="center" wrapText="1" indent="1"/>
      <protection locked="0"/>
    </xf>
    <xf numFmtId="164" fontId="23" fillId="0" borderId="4" xfId="9" applyNumberFormat="1" applyFont="1" applyBorder="1" applyAlignment="1" applyProtection="1">
      <alignment horizontal="right" vertical="center" wrapText="1" indent="1"/>
      <protection locked="0"/>
    </xf>
    <xf numFmtId="164" fontId="16" fillId="4" borderId="6" xfId="9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4" xfId="0" quotePrefix="1" applyNumberFormat="1" applyFont="1" applyBorder="1" applyAlignment="1">
      <alignment horizontal="right" vertical="center" wrapText="1" indent="1"/>
    </xf>
    <xf numFmtId="164" fontId="16" fillId="0" borderId="45" xfId="9" applyNumberFormat="1" applyFont="1" applyBorder="1" applyAlignment="1">
      <alignment horizontal="right" vertical="center" wrapText="1" indent="1"/>
    </xf>
    <xf numFmtId="164" fontId="23" fillId="0" borderId="22" xfId="9" applyNumberFormat="1" applyFont="1" applyBorder="1" applyAlignment="1">
      <alignment horizontal="right" vertical="center" wrapText="1" indent="1"/>
    </xf>
    <xf numFmtId="164" fontId="26" fillId="0" borderId="23" xfId="9" applyNumberFormat="1" applyFont="1" applyBorder="1" applyAlignment="1">
      <alignment horizontal="right" vertical="center" wrapText="1" indent="1"/>
    </xf>
    <xf numFmtId="164" fontId="16" fillId="0" borderId="37" xfId="9" applyNumberFormat="1" applyFont="1" applyBorder="1" applyAlignment="1">
      <alignment horizontal="right" vertical="center" wrapText="1" indent="1"/>
    </xf>
    <xf numFmtId="164" fontId="23" fillId="0" borderId="23" xfId="9" applyNumberFormat="1" applyFont="1" applyBorder="1" applyAlignment="1">
      <alignment horizontal="right" vertical="center" wrapText="1" indent="1"/>
    </xf>
    <xf numFmtId="164" fontId="23" fillId="0" borderId="37" xfId="9" applyNumberFormat="1" applyFont="1" applyBorder="1" applyAlignment="1">
      <alignment horizontal="right" vertical="center" wrapText="1" indent="1"/>
    </xf>
    <xf numFmtId="164" fontId="44" fillId="0" borderId="1" xfId="0" applyNumberFormat="1" applyFont="1" applyBorder="1" applyAlignment="1">
      <alignment horizontal="right" vertical="center" wrapText="1" indent="1"/>
    </xf>
    <xf numFmtId="164" fontId="16" fillId="0" borderId="23" xfId="0" applyNumberFormat="1" applyFont="1" applyBorder="1" applyAlignment="1">
      <alignment horizontal="right" vertical="center" wrapText="1" indent="1"/>
    </xf>
    <xf numFmtId="164" fontId="16" fillId="0" borderId="45" xfId="0" applyNumberFormat="1" applyFont="1" applyBorder="1" applyAlignment="1">
      <alignment horizontal="right" vertical="center" wrapText="1" indent="1"/>
    </xf>
    <xf numFmtId="164" fontId="16" fillId="0" borderId="22" xfId="0" applyNumberFormat="1" applyFont="1" applyBorder="1" applyAlignment="1">
      <alignment horizontal="right" vertical="center" wrapText="1" indent="1"/>
    </xf>
    <xf numFmtId="164" fontId="44" fillId="0" borderId="3" xfId="0" applyNumberFormat="1" applyFont="1" applyBorder="1" applyAlignment="1">
      <alignment horizontal="right" vertical="center" wrapText="1" indent="1"/>
    </xf>
    <xf numFmtId="164" fontId="16" fillId="0" borderId="60" xfId="0" applyNumberFormat="1" applyFont="1" applyBorder="1" applyAlignment="1" applyProtection="1">
      <alignment horizontal="right" vertical="center" wrapText="1" indent="1"/>
      <protection locked="0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164" fontId="23" fillId="0" borderId="7" xfId="0" applyNumberFormat="1" applyFont="1" applyBorder="1" applyAlignment="1" applyProtection="1">
      <alignment horizontal="left" vertical="center" wrapText="1"/>
      <protection locked="0"/>
    </xf>
    <xf numFmtId="164" fontId="14" fillId="0" borderId="8" xfId="0" applyNumberFormat="1" applyFont="1" applyBorder="1" applyAlignment="1" applyProtection="1">
      <alignment horizontal="left" vertical="center" wrapText="1"/>
      <protection locked="0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164" fontId="22" fillId="0" borderId="14" xfId="0" applyNumberFormat="1" applyFont="1" applyBorder="1" applyAlignment="1">
      <alignment horizontal="right" vertical="center" wrapText="1" indent="2"/>
    </xf>
    <xf numFmtId="164" fontId="16" fillId="0" borderId="4" xfId="0" applyNumberFormat="1" applyFont="1" applyBorder="1" applyAlignment="1" applyProtection="1">
      <alignment horizontal="right" vertical="center" wrapText="1" indent="2"/>
      <protection locked="0"/>
    </xf>
    <xf numFmtId="164" fontId="16" fillId="0" borderId="2" xfId="0" applyNumberFormat="1" applyFont="1" applyBorder="1" applyAlignment="1" applyProtection="1">
      <alignment horizontal="right" vertical="center" wrapText="1" indent="2"/>
      <protection locked="0"/>
    </xf>
    <xf numFmtId="164" fontId="16" fillId="0" borderId="1" xfId="0" applyNumberFormat="1" applyFont="1" applyBorder="1" applyAlignment="1" applyProtection="1">
      <alignment horizontal="right" vertical="center" wrapText="1" indent="2"/>
      <protection locked="0"/>
    </xf>
    <xf numFmtId="164" fontId="16" fillId="0" borderId="6" xfId="0" applyNumberFormat="1" applyFont="1" applyBorder="1" applyAlignment="1" applyProtection="1">
      <alignment horizontal="right" vertical="center" wrapText="1" indent="2"/>
      <protection locked="0"/>
    </xf>
    <xf numFmtId="164" fontId="22" fillId="0" borderId="14" xfId="0" applyNumberFormat="1" applyFont="1" applyBorder="1" applyAlignment="1" applyProtection="1">
      <alignment horizontal="right" vertical="center" wrapText="1" indent="2"/>
      <protection locked="0"/>
    </xf>
    <xf numFmtId="164" fontId="23" fillId="0" borderId="3" xfId="0" applyNumberFormat="1" applyFont="1" applyBorder="1" applyAlignment="1" applyProtection="1">
      <alignment horizontal="right" vertical="center" wrapText="1" indent="2"/>
      <protection locked="0"/>
    </xf>
    <xf numFmtId="164" fontId="23" fillId="0" borderId="17" xfId="0" applyNumberFormat="1" applyFont="1" applyBorder="1" applyAlignment="1" applyProtection="1">
      <alignment horizontal="right" vertical="center" wrapText="1" indent="2"/>
      <protection locked="0"/>
    </xf>
    <xf numFmtId="164" fontId="23" fillId="0" borderId="1" xfId="0" applyNumberFormat="1" applyFont="1" applyBorder="1" applyAlignment="1" applyProtection="1">
      <alignment horizontal="right" vertical="center" wrapText="1" indent="2"/>
      <protection locked="0"/>
    </xf>
    <xf numFmtId="164" fontId="23" fillId="0" borderId="2" xfId="0" applyNumberFormat="1" applyFont="1" applyBorder="1" applyAlignment="1" applyProtection="1">
      <alignment horizontal="right" vertical="center" wrapText="1" indent="2"/>
      <protection locked="0"/>
    </xf>
    <xf numFmtId="0" fontId="21" fillId="4" borderId="2" xfId="9" applyFont="1" applyFill="1" applyBorder="1" applyAlignment="1">
      <alignment horizontal="left" indent="1"/>
    </xf>
    <xf numFmtId="0" fontId="41" fillId="5" borderId="13" xfId="9" applyFont="1" applyFill="1" applyBorder="1" applyAlignment="1">
      <alignment horizontal="left" vertical="center" wrapText="1" indent="1"/>
    </xf>
    <xf numFmtId="3" fontId="22" fillId="5" borderId="14" xfId="0" applyNumberFormat="1" applyFont="1" applyFill="1" applyBorder="1" applyAlignment="1" applyProtection="1">
      <alignment horizontal="right" vertical="center" indent="1"/>
      <protection locked="0"/>
    </xf>
    <xf numFmtId="3" fontId="23" fillId="4" borderId="2" xfId="0" applyNumberFormat="1" applyFont="1" applyFill="1" applyBorder="1" applyAlignment="1" applyProtection="1">
      <alignment horizontal="right" vertical="center" indent="1"/>
      <protection locked="0"/>
    </xf>
    <xf numFmtId="3" fontId="23" fillId="4" borderId="3" xfId="0" applyNumberFormat="1" applyFont="1" applyFill="1" applyBorder="1" applyAlignment="1" applyProtection="1">
      <alignment horizontal="right" vertical="center" indent="1"/>
      <protection locked="0"/>
    </xf>
    <xf numFmtId="0" fontId="41" fillId="5" borderId="14" xfId="9" applyFont="1" applyFill="1" applyBorder="1" applyAlignment="1">
      <alignment horizontal="left" indent="1"/>
    </xf>
    <xf numFmtId="0" fontId="20" fillId="4" borderId="2" xfId="0" applyFont="1" applyFill="1" applyBorder="1" applyAlignment="1">
      <alignment horizontal="left" vertical="center" wrapText="1" indent="1"/>
    </xf>
    <xf numFmtId="0" fontId="20" fillId="5" borderId="14" xfId="9" applyFont="1" applyFill="1" applyBorder="1" applyAlignment="1">
      <alignment horizontal="left" vertical="center" wrapText="1" indent="1"/>
    </xf>
    <xf numFmtId="3" fontId="48" fillId="4" borderId="2" xfId="0" applyNumberFormat="1" applyFont="1" applyFill="1" applyBorder="1" applyAlignment="1" applyProtection="1">
      <alignment horizontal="right" vertical="center" indent="1"/>
      <protection locked="0"/>
    </xf>
    <xf numFmtId="3" fontId="22" fillId="4" borderId="2" xfId="0" applyNumberFormat="1" applyFont="1" applyFill="1" applyBorder="1" applyAlignment="1" applyProtection="1">
      <alignment horizontal="right" vertical="center" indent="1"/>
      <protection locked="0"/>
    </xf>
    <xf numFmtId="3" fontId="49" fillId="4" borderId="2" xfId="0" applyNumberFormat="1" applyFont="1" applyFill="1" applyBorder="1" applyAlignment="1" applyProtection="1">
      <alignment horizontal="right" vertical="center" indent="1"/>
      <protection locked="0"/>
    </xf>
    <xf numFmtId="0" fontId="23" fillId="0" borderId="27" xfId="0" applyFont="1" applyBorder="1" applyAlignment="1">
      <alignment horizontal="right" vertical="center" indent="1"/>
    </xf>
    <xf numFmtId="0" fontId="22" fillId="0" borderId="2" xfId="9" applyFont="1" applyBorder="1" applyAlignment="1">
      <alignment horizontal="left" vertical="center" wrapText="1" indent="1"/>
    </xf>
    <xf numFmtId="164" fontId="23" fillId="0" borderId="2" xfId="0" applyNumberFormat="1" applyFont="1" applyBorder="1" applyAlignment="1">
      <alignment horizontal="left" vertical="center" wrapText="1" indent="1"/>
    </xf>
    <xf numFmtId="0" fontId="20" fillId="0" borderId="2" xfId="9" applyFont="1" applyBorder="1" applyAlignment="1">
      <alignment horizontal="left" vertical="center" wrapText="1" indent="1"/>
    </xf>
    <xf numFmtId="0" fontId="20" fillId="0" borderId="3" xfId="9" applyFont="1" applyBorder="1" applyAlignment="1">
      <alignment horizontal="left" vertical="center" wrapText="1" indent="1"/>
    </xf>
    <xf numFmtId="3" fontId="23" fillId="0" borderId="3" xfId="0" applyNumberFormat="1" applyFont="1" applyBorder="1" applyAlignment="1" applyProtection="1">
      <alignment horizontal="right" vertical="center" indent="1"/>
      <protection locked="0"/>
    </xf>
    <xf numFmtId="0" fontId="20" fillId="0" borderId="1" xfId="9" applyFont="1" applyBorder="1" applyAlignment="1">
      <alignment horizontal="left" vertical="center" wrapText="1" indent="1"/>
    </xf>
    <xf numFmtId="3" fontId="23" fillId="0" borderId="1" xfId="0" applyNumberFormat="1" applyFont="1" applyBorder="1" applyAlignment="1" applyProtection="1">
      <alignment horizontal="right" vertical="center" indent="1"/>
      <protection locked="0"/>
    </xf>
    <xf numFmtId="0" fontId="20" fillId="0" borderId="2" xfId="9" applyFont="1" applyBorder="1" applyAlignment="1">
      <alignment horizontal="left" indent="1"/>
    </xf>
    <xf numFmtId="0" fontId="21" fillId="0" borderId="2" xfId="0" applyFont="1" applyBorder="1" applyAlignment="1">
      <alignment horizontal="left" vertical="center" wrapText="1" indent="1"/>
    </xf>
    <xf numFmtId="0" fontId="21" fillId="0" borderId="2" xfId="9" applyFont="1" applyBorder="1" applyAlignment="1">
      <alignment horizontal="left" indent="1"/>
    </xf>
    <xf numFmtId="3" fontId="23" fillId="0" borderId="2" xfId="0" applyNumberFormat="1" applyFont="1" applyBorder="1" applyAlignment="1" applyProtection="1">
      <alignment horizontal="right" vertical="center" indent="1"/>
      <protection locked="0"/>
    </xf>
    <xf numFmtId="0" fontId="20" fillId="0" borderId="3" xfId="0" applyFont="1" applyBorder="1" applyAlignment="1">
      <alignment horizontal="left" vertical="center" wrapText="1" indent="1"/>
    </xf>
    <xf numFmtId="3" fontId="22" fillId="0" borderId="14" xfId="0" applyNumberFormat="1" applyFont="1" applyBorder="1" applyAlignment="1">
      <alignment horizontal="right" vertical="center" indent="1"/>
    </xf>
    <xf numFmtId="0" fontId="32" fillId="0" borderId="0" xfId="0" applyFont="1" applyAlignment="1">
      <alignment horizontal="right" vertical="center" wrapText="1" indent="1"/>
    </xf>
    <xf numFmtId="164" fontId="6" fillId="0" borderId="8" xfId="0" applyNumberFormat="1" applyFont="1" applyBorder="1" applyAlignment="1" applyProtection="1">
      <alignment horizontal="center" vertical="center" wrapText="1"/>
      <protection locked="0"/>
    </xf>
    <xf numFmtId="164" fontId="6" fillId="0" borderId="27" xfId="0" applyNumberFormat="1" applyFont="1" applyBorder="1" applyAlignment="1" applyProtection="1">
      <alignment horizontal="center" vertical="center" wrapText="1"/>
      <protection locked="0"/>
    </xf>
    <xf numFmtId="0" fontId="23" fillId="0" borderId="27" xfId="9" applyFont="1" applyBorder="1" applyAlignment="1">
      <alignment horizontal="left" vertical="center" wrapText="1" indent="1"/>
    </xf>
    <xf numFmtId="0" fontId="16" fillId="0" borderId="27" xfId="9" applyFont="1" applyBorder="1" applyAlignment="1">
      <alignment horizontal="left" vertical="center" wrapText="1" indent="1"/>
    </xf>
    <xf numFmtId="164" fontId="16" fillId="0" borderId="63" xfId="0" applyNumberFormat="1" applyFont="1" applyBorder="1" applyAlignment="1" applyProtection="1">
      <alignment horizontal="left" vertical="center" wrapText="1" indent="1"/>
      <protection locked="0"/>
    </xf>
    <xf numFmtId="0" fontId="15" fillId="3" borderId="25" xfId="9" applyFont="1" applyFill="1" applyBorder="1" applyAlignment="1">
      <alignment horizontal="left" vertical="center" wrapText="1" indent="1"/>
    </xf>
    <xf numFmtId="0" fontId="15" fillId="3" borderId="64" xfId="9" applyFont="1" applyFill="1" applyBorder="1" applyAlignment="1">
      <alignment horizontal="left" vertical="center" wrapText="1" indent="1"/>
    </xf>
    <xf numFmtId="3" fontId="0" fillId="0" borderId="2" xfId="0" applyNumberFormat="1" applyBorder="1"/>
    <xf numFmtId="0" fontId="16" fillId="4" borderId="2" xfId="9" applyFont="1" applyFill="1" applyBorder="1" applyAlignment="1">
      <alignment horizontal="left" vertical="center" wrapText="1" indent="1"/>
    </xf>
    <xf numFmtId="3" fontId="23" fillId="4" borderId="1" xfId="0" applyNumberFormat="1" applyFont="1" applyFill="1" applyBorder="1" applyAlignment="1" applyProtection="1">
      <alignment horizontal="right" vertical="center" indent="1"/>
      <protection locked="0"/>
    </xf>
    <xf numFmtId="3" fontId="36" fillId="0" borderId="2" xfId="0" applyNumberFormat="1" applyFont="1" applyBorder="1" applyAlignment="1">
      <alignment horizontal="right" vertical="center" indent="1"/>
    </xf>
    <xf numFmtId="164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62" xfId="0" applyNumberFormat="1" applyFont="1" applyFill="1" applyBorder="1" applyAlignment="1" applyProtection="1">
      <alignment horizontal="left" vertical="center" wrapText="1" indent="1"/>
      <protection locked="0"/>
    </xf>
    <xf numFmtId="164" fontId="45" fillId="6" borderId="4" xfId="0" applyNumberFormat="1" applyFont="1" applyFill="1" applyBorder="1" applyAlignment="1">
      <alignment horizontal="center" vertical="center" wrapText="1"/>
    </xf>
    <xf numFmtId="3" fontId="19" fillId="7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164" fontId="6" fillId="0" borderId="22" xfId="0" applyNumberFormat="1" applyFont="1" applyBorder="1" applyAlignment="1" applyProtection="1">
      <alignment horizontal="center" vertical="center" wrapText="1"/>
      <protection locked="0"/>
    </xf>
    <xf numFmtId="49" fontId="23" fillId="4" borderId="8" xfId="9" applyNumberFormat="1" applyFont="1" applyFill="1" applyBorder="1" applyAlignment="1">
      <alignment horizontal="left" vertical="center" wrapText="1" indent="1"/>
    </xf>
    <xf numFmtId="0" fontId="22" fillId="5" borderId="27" xfId="9" applyFont="1" applyFill="1" applyBorder="1" applyAlignment="1">
      <alignment vertical="center" wrapText="1"/>
    </xf>
    <xf numFmtId="164" fontId="22" fillId="5" borderId="2" xfId="9" applyNumberFormat="1" applyFont="1" applyFill="1" applyBorder="1" applyAlignment="1">
      <alignment horizontal="right" vertical="center" wrapText="1"/>
    </xf>
    <xf numFmtId="164" fontId="22" fillId="5" borderId="5" xfId="9" applyNumberFormat="1" applyFont="1" applyFill="1" applyBorder="1" applyAlignment="1">
      <alignment horizontal="right" vertical="center" wrapText="1"/>
    </xf>
    <xf numFmtId="164" fontId="22" fillId="5" borderId="22" xfId="9" applyNumberFormat="1" applyFont="1" applyFill="1" applyBorder="1" applyAlignment="1">
      <alignment horizontal="right" vertical="center" wrapText="1"/>
    </xf>
    <xf numFmtId="0" fontId="46" fillId="8" borderId="27" xfId="9" applyFont="1" applyFill="1" applyBorder="1" applyAlignment="1">
      <alignment horizontal="left" vertical="center" wrapText="1" indent="1"/>
    </xf>
    <xf numFmtId="164" fontId="22" fillId="8" borderId="2" xfId="9" applyNumberFormat="1" applyFont="1" applyFill="1" applyBorder="1" applyAlignment="1" applyProtection="1">
      <alignment horizontal="right" vertical="center" wrapText="1"/>
      <protection locked="0"/>
    </xf>
    <xf numFmtId="164" fontId="22" fillId="8" borderId="5" xfId="9" applyNumberFormat="1" applyFont="1" applyFill="1" applyBorder="1" applyAlignment="1" applyProtection="1">
      <alignment horizontal="right" vertical="center" wrapText="1"/>
      <protection locked="0"/>
    </xf>
    <xf numFmtId="164" fontId="22" fillId="8" borderId="22" xfId="9" applyNumberFormat="1" applyFont="1" applyFill="1" applyBorder="1" applyAlignment="1" applyProtection="1">
      <alignment horizontal="right" vertical="center" wrapText="1"/>
      <protection locked="0"/>
    </xf>
    <xf numFmtId="0" fontId="16" fillId="4" borderId="27" xfId="9" applyFont="1" applyFill="1" applyBorder="1" applyAlignment="1">
      <alignment horizontal="left" vertical="center" wrapText="1" indent="1"/>
    </xf>
    <xf numFmtId="164" fontId="23" fillId="0" borderId="2" xfId="9" applyNumberFormat="1" applyFont="1" applyBorder="1" applyAlignment="1" applyProtection="1">
      <alignment horizontal="right" vertical="center" wrapText="1"/>
      <protection locked="0"/>
    </xf>
    <xf numFmtId="164" fontId="23" fillId="0" borderId="5" xfId="9" applyNumberFormat="1" applyFont="1" applyBorder="1" applyAlignment="1" applyProtection="1">
      <alignment horizontal="right" vertical="center" wrapText="1"/>
      <protection locked="0"/>
    </xf>
    <xf numFmtId="164" fontId="23" fillId="0" borderId="22" xfId="9" applyNumberFormat="1" applyFont="1" applyBorder="1" applyAlignment="1" applyProtection="1">
      <alignment horizontal="right" vertical="center" wrapText="1"/>
      <protection locked="0"/>
    </xf>
    <xf numFmtId="164" fontId="23" fillId="4" borderId="2" xfId="9" applyNumberFormat="1" applyFont="1" applyFill="1" applyBorder="1" applyAlignment="1" applyProtection="1">
      <alignment horizontal="right" vertical="center" wrapText="1"/>
      <protection locked="0"/>
    </xf>
    <xf numFmtId="164" fontId="23" fillId="4" borderId="5" xfId="9" applyNumberFormat="1" applyFont="1" applyFill="1" applyBorder="1" applyAlignment="1" applyProtection="1">
      <alignment horizontal="right" vertical="center" wrapText="1"/>
      <protection locked="0"/>
    </xf>
    <xf numFmtId="164" fontId="23" fillId="4" borderId="22" xfId="9" applyNumberFormat="1" applyFont="1" applyFill="1" applyBorder="1" applyAlignment="1" applyProtection="1">
      <alignment horizontal="right" vertical="center" wrapText="1"/>
      <protection locked="0"/>
    </xf>
    <xf numFmtId="0" fontId="46" fillId="8" borderId="27" xfId="0" applyFont="1" applyFill="1" applyBorder="1" applyAlignment="1">
      <alignment horizontal="left" vertical="center" wrapText="1" indent="1"/>
    </xf>
    <xf numFmtId="164" fontId="46" fillId="8" borderId="2" xfId="9" applyNumberFormat="1" applyFont="1" applyFill="1" applyBorder="1" applyAlignment="1" applyProtection="1">
      <alignment horizontal="right" vertical="center" wrapText="1"/>
      <protection locked="0"/>
    </xf>
    <xf numFmtId="164" fontId="46" fillId="8" borderId="5" xfId="9" applyNumberFormat="1" applyFont="1" applyFill="1" applyBorder="1" applyAlignment="1" applyProtection="1">
      <alignment horizontal="right" vertical="center" wrapText="1"/>
      <protection locked="0"/>
    </xf>
    <xf numFmtId="164" fontId="46" fillId="8" borderId="22" xfId="9" applyNumberFormat="1" applyFont="1" applyFill="1" applyBorder="1" applyAlignment="1" applyProtection="1">
      <alignment horizontal="right" vertical="center" wrapText="1"/>
      <protection locked="0"/>
    </xf>
    <xf numFmtId="164" fontId="48" fillId="4" borderId="2" xfId="9" applyNumberFormat="1" applyFont="1" applyFill="1" applyBorder="1" applyAlignment="1" applyProtection="1">
      <alignment horizontal="right" vertical="center" wrapText="1"/>
      <protection locked="0"/>
    </xf>
    <xf numFmtId="164" fontId="48" fillId="4" borderId="5" xfId="9" applyNumberFormat="1" applyFont="1" applyFill="1" applyBorder="1" applyAlignment="1" applyProtection="1">
      <alignment horizontal="right" vertical="center" wrapText="1"/>
      <protection locked="0"/>
    </xf>
    <xf numFmtId="164" fontId="48" fillId="4" borderId="22" xfId="9" applyNumberFormat="1" applyFont="1" applyFill="1" applyBorder="1" applyAlignment="1" applyProtection="1">
      <alignment horizontal="right" vertical="center" wrapText="1"/>
      <protection locked="0"/>
    </xf>
    <xf numFmtId="0" fontId="47" fillId="5" borderId="27" xfId="9" applyFont="1" applyFill="1" applyBorder="1" applyAlignment="1">
      <alignment vertical="center" wrapText="1"/>
    </xf>
    <xf numFmtId="164" fontId="22" fillId="5" borderId="2" xfId="9" applyNumberFormat="1" applyFont="1" applyFill="1" applyBorder="1" applyAlignment="1" applyProtection="1">
      <alignment horizontal="right" vertical="center" wrapText="1"/>
      <protection locked="0"/>
    </xf>
    <xf numFmtId="164" fontId="22" fillId="5" borderId="5" xfId="9" applyNumberFormat="1" applyFont="1" applyFill="1" applyBorder="1" applyAlignment="1" applyProtection="1">
      <alignment horizontal="right" vertical="center" wrapText="1"/>
      <protection locked="0"/>
    </xf>
    <xf numFmtId="164" fontId="22" fillId="5" borderId="22" xfId="9" applyNumberFormat="1" applyFont="1" applyFill="1" applyBorder="1" applyAlignment="1" applyProtection="1">
      <alignment horizontal="right" vertical="center" wrapText="1"/>
      <protection locked="0"/>
    </xf>
    <xf numFmtId="0" fontId="23" fillId="4" borderId="27" xfId="9" applyFont="1" applyFill="1" applyBorder="1" applyAlignment="1">
      <alignment horizontal="left" vertical="center" wrapText="1" indent="1"/>
    </xf>
    <xf numFmtId="0" fontId="46" fillId="5" borderId="27" xfId="9" applyFont="1" applyFill="1" applyBorder="1" applyAlignment="1">
      <alignment vertical="center" wrapText="1"/>
    </xf>
    <xf numFmtId="164" fontId="14" fillId="4" borderId="17" xfId="0" applyNumberFormat="1" applyFont="1" applyFill="1" applyBorder="1" applyAlignment="1" applyProtection="1">
      <alignment vertical="center" wrapText="1"/>
      <protection locked="0"/>
    </xf>
    <xf numFmtId="164" fontId="14" fillId="4" borderId="43" xfId="0" applyNumberFormat="1" applyFont="1" applyFill="1" applyBorder="1" applyAlignment="1" applyProtection="1">
      <alignment vertical="center" wrapText="1"/>
      <protection locked="0"/>
    </xf>
    <xf numFmtId="164" fontId="14" fillId="4" borderId="37" xfId="0" applyNumberFormat="1" applyFont="1" applyFill="1" applyBorder="1" applyAlignment="1" applyProtection="1">
      <alignment vertical="center" wrapText="1"/>
      <protection locked="0"/>
    </xf>
    <xf numFmtId="164" fontId="6" fillId="3" borderId="18" xfId="0" applyNumberFormat="1" applyFont="1" applyFill="1" applyBorder="1" applyAlignment="1" applyProtection="1">
      <alignment vertical="center" wrapText="1"/>
      <protection locked="0"/>
    </xf>
    <xf numFmtId="164" fontId="6" fillId="3" borderId="48" xfId="0" applyNumberFormat="1" applyFont="1" applyFill="1" applyBorder="1" applyAlignment="1" applyProtection="1">
      <alignment vertical="center" wrapText="1"/>
      <protection locked="0"/>
    </xf>
    <xf numFmtId="164" fontId="6" fillId="3" borderId="38" xfId="0" applyNumberFormat="1" applyFont="1" applyFill="1" applyBorder="1" applyAlignment="1" applyProtection="1">
      <alignment vertical="center" wrapText="1"/>
      <protection locked="0"/>
    </xf>
    <xf numFmtId="0" fontId="21" fillId="13" borderId="2" xfId="0" applyFont="1" applyFill="1" applyBorder="1" applyAlignment="1">
      <alignment horizontal="center" vertical="top"/>
    </xf>
    <xf numFmtId="0" fontId="21" fillId="13" borderId="2" xfId="0" applyFont="1" applyFill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3" fontId="20" fillId="0" borderId="2" xfId="0" applyNumberFormat="1" applyFont="1" applyBorder="1"/>
    <xf numFmtId="3" fontId="20" fillId="13" borderId="2" xfId="0" applyNumberFormat="1" applyFont="1" applyFill="1" applyBorder="1"/>
    <xf numFmtId="0" fontId="45" fillId="13" borderId="2" xfId="0" applyFont="1" applyFill="1" applyBorder="1" applyAlignment="1">
      <alignment horizontal="center" vertical="top"/>
    </xf>
    <xf numFmtId="0" fontId="45" fillId="13" borderId="2" xfId="0" applyFont="1" applyFill="1" applyBorder="1" applyAlignment="1">
      <alignment horizontal="right"/>
    </xf>
    <xf numFmtId="0" fontId="45" fillId="13" borderId="2" xfId="0" applyFont="1" applyFill="1" applyBorder="1" applyAlignment="1">
      <alignment horizontal="center" vertical="top" wrapText="1"/>
    </xf>
    <xf numFmtId="3" fontId="45" fillId="13" borderId="2" xfId="0" applyNumberFormat="1" applyFont="1" applyFill="1" applyBorder="1" applyAlignment="1">
      <alignment horizontal="center" wrapText="1"/>
    </xf>
    <xf numFmtId="0" fontId="20" fillId="0" borderId="27" xfId="0" applyFont="1" applyBorder="1" applyAlignment="1">
      <alignment horizontal="left" vertical="top" wrapText="1" indent="1"/>
    </xf>
    <xf numFmtId="0" fontId="21" fillId="13" borderId="27" xfId="0" applyFont="1" applyFill="1" applyBorder="1" applyAlignment="1">
      <alignment horizontal="left" vertical="top" wrapText="1" indent="1"/>
    </xf>
    <xf numFmtId="0" fontId="21" fillId="13" borderId="2" xfId="0" applyFont="1" applyFill="1" applyBorder="1" applyAlignment="1">
      <alignment horizontal="left" vertical="top" wrapText="1" indent="1"/>
    </xf>
    <xf numFmtId="0" fontId="20" fillId="0" borderId="65" xfId="0" applyFont="1" applyBorder="1" applyAlignment="1">
      <alignment horizontal="left" vertical="top" indent="1"/>
    </xf>
    <xf numFmtId="0" fontId="20" fillId="12" borderId="27" xfId="0" applyFont="1" applyFill="1" applyBorder="1" applyAlignment="1">
      <alignment horizontal="left" vertical="top" wrapText="1" indent="1"/>
    </xf>
    <xf numFmtId="3" fontId="0" fillId="0" borderId="4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right" vertical="center" indent="1"/>
    </xf>
    <xf numFmtId="3" fontId="0" fillId="0" borderId="2" xfId="0" applyNumberFormat="1" applyBorder="1" applyAlignment="1">
      <alignment horizontal="right" indent="1"/>
    </xf>
    <xf numFmtId="3" fontId="0" fillId="4" borderId="2" xfId="0" applyNumberFormat="1" applyFill="1" applyBorder="1" applyAlignment="1" applyProtection="1">
      <alignment horizontal="right" vertical="center" indent="1"/>
      <protection locked="0"/>
    </xf>
    <xf numFmtId="3" fontId="0" fillId="0" borderId="2" xfId="0" applyNumberFormat="1" applyBorder="1" applyAlignment="1" applyProtection="1">
      <alignment horizontal="right" vertical="center" indent="1"/>
      <protection locked="0"/>
    </xf>
    <xf numFmtId="3" fontId="0" fillId="0" borderId="3" xfId="0" applyNumberFormat="1" applyBorder="1" applyAlignment="1" applyProtection="1">
      <alignment horizontal="right" vertical="center" indent="1"/>
      <protection locked="0"/>
    </xf>
    <xf numFmtId="3" fontId="0" fillId="0" borderId="32" xfId="0" applyNumberFormat="1" applyBorder="1" applyAlignment="1">
      <alignment horizontal="right" vertical="center" indent="1"/>
    </xf>
    <xf numFmtId="3" fontId="0" fillId="0" borderId="66" xfId="0" applyNumberFormat="1" applyBorder="1" applyAlignment="1">
      <alignment horizontal="right" vertical="center" indent="1"/>
    </xf>
    <xf numFmtId="3" fontId="0" fillId="0" borderId="66" xfId="0" applyNumberFormat="1" applyBorder="1"/>
    <xf numFmtId="3" fontId="22" fillId="5" borderId="19" xfId="0" applyNumberFormat="1" applyFont="1" applyFill="1" applyBorder="1" applyAlignment="1" applyProtection="1">
      <alignment horizontal="right" vertical="center" indent="1"/>
      <protection locked="0"/>
    </xf>
    <xf numFmtId="0" fontId="0" fillId="0" borderId="66" xfId="0" applyBorder="1"/>
    <xf numFmtId="3" fontId="22" fillId="0" borderId="19" xfId="0" applyNumberFormat="1" applyFont="1" applyBorder="1" applyAlignment="1">
      <alignment horizontal="right" vertical="center" indent="1"/>
    </xf>
    <xf numFmtId="164" fontId="48" fillId="4" borderId="0" xfId="9" applyNumberFormat="1" applyFont="1" applyFill="1" applyAlignment="1" applyProtection="1">
      <alignment horizontal="right" vertical="center" wrapText="1"/>
      <protection locked="0"/>
    </xf>
    <xf numFmtId="0" fontId="57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/>
    </xf>
    <xf numFmtId="0" fontId="27" fillId="10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17" fillId="10" borderId="0" xfId="0" applyFont="1" applyFill="1" applyAlignment="1">
      <alignment horizontal="center"/>
    </xf>
    <xf numFmtId="0" fontId="17" fillId="10" borderId="0" xfId="0" applyFont="1" applyFill="1"/>
    <xf numFmtId="0" fontId="0" fillId="10" borderId="0" xfId="0" applyFill="1"/>
    <xf numFmtId="164" fontId="28" fillId="0" borderId="26" xfId="9" applyNumberFormat="1" applyFont="1" applyBorder="1" applyAlignment="1" applyProtection="1">
      <alignment horizontal="left" vertical="center"/>
      <protection locked="0"/>
    </xf>
    <xf numFmtId="0" fontId="17" fillId="0" borderId="0" xfId="9" applyFont="1" applyAlignment="1">
      <alignment horizontal="center"/>
    </xf>
    <xf numFmtId="164" fontId="28" fillId="0" borderId="26" xfId="9" applyNumberFormat="1" applyFont="1" applyBorder="1" applyAlignment="1">
      <alignment horizontal="left" vertical="center"/>
    </xf>
    <xf numFmtId="0" fontId="6" fillId="0" borderId="15" xfId="9" applyFont="1" applyBorder="1" applyAlignment="1">
      <alignment horizontal="center" vertical="center" wrapText="1"/>
    </xf>
    <xf numFmtId="0" fontId="6" fillId="0" borderId="25" xfId="9" applyFont="1" applyBorder="1" applyAlignment="1">
      <alignment horizontal="center" vertical="center" wrapText="1"/>
    </xf>
    <xf numFmtId="0" fontId="6" fillId="0" borderId="16" xfId="9" applyFont="1" applyBorder="1" applyAlignment="1">
      <alignment horizontal="center" vertical="center" wrapText="1"/>
    </xf>
    <xf numFmtId="0" fontId="6" fillId="0" borderId="18" xfId="9" applyFont="1" applyBorder="1" applyAlignment="1">
      <alignment horizontal="center" vertical="center" wrapText="1"/>
    </xf>
    <xf numFmtId="0" fontId="6" fillId="0" borderId="60" xfId="9" applyFont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center" wrapText="1"/>
    </xf>
    <xf numFmtId="0" fontId="6" fillId="0" borderId="32" xfId="9" applyFont="1" applyBorder="1" applyAlignment="1">
      <alignment horizontal="center" vertical="center" wrapText="1"/>
    </xf>
    <xf numFmtId="164" fontId="5" fillId="0" borderId="0" xfId="9" applyNumberFormat="1" applyFont="1" applyAlignment="1">
      <alignment horizontal="center" vertical="center"/>
    </xf>
    <xf numFmtId="164" fontId="28" fillId="0" borderId="26" xfId="9" applyNumberFormat="1" applyFont="1" applyBorder="1" applyAlignment="1">
      <alignment horizontal="left"/>
    </xf>
    <xf numFmtId="0" fontId="37" fillId="0" borderId="0" xfId="9" applyFont="1" applyAlignment="1" applyProtection="1">
      <alignment horizontal="right"/>
      <protection locked="0"/>
    </xf>
    <xf numFmtId="0" fontId="37" fillId="0" borderId="0" xfId="0" applyFont="1" applyAlignment="1" applyProtection="1">
      <alignment horizontal="right"/>
      <protection locked="0"/>
    </xf>
    <xf numFmtId="0" fontId="17" fillId="0" borderId="0" xfId="9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17" fillId="0" borderId="0" xfId="9" applyFont="1" applyAlignment="1" applyProtection="1">
      <alignment horizontal="center" vertical="center"/>
      <protection locked="0"/>
    </xf>
    <xf numFmtId="164" fontId="5" fillId="0" borderId="0" xfId="9" applyNumberFormat="1" applyFont="1" applyAlignment="1" applyProtection="1">
      <alignment horizontal="center" vertical="center"/>
      <protection locked="0"/>
    </xf>
    <xf numFmtId="164" fontId="37" fillId="0" borderId="0" xfId="0" applyNumberFormat="1" applyFont="1" applyAlignment="1" applyProtection="1">
      <alignment horizontal="center" textRotation="180" wrapText="1"/>
      <protection locked="0"/>
    </xf>
    <xf numFmtId="164" fontId="24" fillId="0" borderId="51" xfId="0" applyNumberFormat="1" applyFont="1" applyBorder="1" applyAlignment="1" applyProtection="1">
      <alignment horizontal="center" vertical="center" wrapText="1"/>
      <protection locked="0"/>
    </xf>
    <xf numFmtId="164" fontId="24" fillId="0" borderId="50" xfId="0" applyNumberFormat="1" applyFont="1" applyBorder="1" applyAlignment="1" applyProtection="1">
      <alignment horizontal="center" vertical="center" wrapText="1"/>
      <protection locked="0"/>
    </xf>
    <xf numFmtId="164" fontId="58" fillId="0" borderId="46" xfId="0" applyNumberFormat="1" applyFont="1" applyBorder="1" applyAlignment="1">
      <alignment horizontal="center" vertical="center" wrapText="1"/>
    </xf>
    <xf numFmtId="164" fontId="37" fillId="0" borderId="0" xfId="0" applyNumberFormat="1" applyFont="1" applyAlignment="1" applyProtection="1">
      <alignment horizontal="right" vertical="center" wrapText="1"/>
      <protection locked="0"/>
    </xf>
    <xf numFmtId="0" fontId="37" fillId="0" borderId="0" xfId="0" applyFont="1" applyAlignment="1" applyProtection="1">
      <alignment horizontal="right" vertical="center" wrapText="1"/>
      <protection locked="0"/>
    </xf>
    <xf numFmtId="164" fontId="17" fillId="0" borderId="0" xfId="0" applyNumberFormat="1" applyFont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right" vertical="top"/>
      <protection locked="0"/>
    </xf>
    <xf numFmtId="0" fontId="32" fillId="0" borderId="26" xfId="0" applyFont="1" applyBorder="1" applyProtection="1"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6" fillId="0" borderId="62" xfId="9" applyFont="1" applyBorder="1" applyAlignment="1">
      <alignment horizontal="center" vertical="center" wrapText="1"/>
    </xf>
    <xf numFmtId="0" fontId="6" fillId="0" borderId="61" xfId="9" applyFont="1" applyBorder="1" applyAlignment="1">
      <alignment horizontal="center" vertical="center" wrapText="1"/>
    </xf>
    <xf numFmtId="0" fontId="6" fillId="0" borderId="36" xfId="9" applyFont="1" applyBorder="1" applyAlignment="1">
      <alignment horizontal="center" vertical="center" wrapText="1"/>
    </xf>
    <xf numFmtId="0" fontId="17" fillId="0" borderId="46" xfId="9" applyFont="1" applyBorder="1" applyAlignment="1">
      <alignment horizontal="center"/>
    </xf>
    <xf numFmtId="164" fontId="24" fillId="0" borderId="26" xfId="9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 applyProtection="1">
      <alignment horizontal="center" wrapText="1"/>
      <protection locked="0"/>
    </xf>
    <xf numFmtId="0" fontId="28" fillId="0" borderId="0" xfId="0" applyFont="1" applyAlignment="1">
      <alignment horizontal="right"/>
    </xf>
    <xf numFmtId="0" fontId="22" fillId="0" borderId="49" xfId="0" applyFont="1" applyBorder="1" applyAlignment="1">
      <alignment horizontal="left" vertical="center" indent="2"/>
    </xf>
    <xf numFmtId="0" fontId="22" fillId="0" borderId="20" xfId="0" applyFont="1" applyBorder="1" applyAlignment="1">
      <alignment horizontal="left" vertical="center" indent="2"/>
    </xf>
    <xf numFmtId="0" fontId="0" fillId="0" borderId="0" xfId="0" applyAlignment="1">
      <alignment horizontal="right"/>
    </xf>
    <xf numFmtId="0" fontId="20" fillId="0" borderId="0" xfId="0" applyFont="1" applyAlignment="1">
      <alignment horizontal="right"/>
    </xf>
  </cellXfs>
  <cellStyles count="11">
    <cellStyle name="Ezres 2" xfId="1"/>
    <cellStyle name="Ezres 3" xfId="2"/>
    <cellStyle name="Hiperhivatkozás" xfId="3"/>
    <cellStyle name="Hivatkozás" xfId="4" builtinId="8"/>
    <cellStyle name="Már látott hiperhivatkozás" xfId="5"/>
    <cellStyle name="Normál" xfId="0" builtinId="0"/>
    <cellStyle name="Normál 2" xfId="6"/>
    <cellStyle name="Normál 3" xfId="7"/>
    <cellStyle name="Normál 3 3" xfId="8"/>
    <cellStyle name="Normál_KVRENMUNKA" xfId="9"/>
    <cellStyle name="Százalék 2" xfId="1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C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3</xdr:row>
      <xdr:rowOff>152400</xdr:rowOff>
    </xdr:from>
    <xdr:to>
      <xdr:col>18</xdr:col>
      <xdr:colOff>66675</xdr:colOff>
      <xdr:row>11</xdr:row>
      <xdr:rowOff>152400</xdr:rowOff>
    </xdr:to>
    <xdr:grpSp>
      <xdr:nvGrpSpPr>
        <xdr:cNvPr id="459806" name="Csoportba foglalás 20">
          <a:extLst>
            <a:ext uri="{FF2B5EF4-FFF2-40B4-BE49-F238E27FC236}">
              <a16:creationId xmlns:a16="http://schemas.microsoft.com/office/drawing/2014/main" id="{00000000-0008-0000-0100-00001E040700}"/>
            </a:ext>
          </a:extLst>
        </xdr:cNvPr>
        <xdr:cNvGrpSpPr>
          <a:grpSpLocks/>
        </xdr:cNvGrpSpPr>
      </xdr:nvGrpSpPr>
      <xdr:grpSpPr bwMode="auto">
        <a:xfrm>
          <a:off x="8351838" y="668338"/>
          <a:ext cx="4899025" cy="1341437"/>
          <a:chOff x="8397875" y="333376"/>
          <a:chExt cx="4900613" cy="1333500"/>
        </a:xfrm>
      </xdr:grpSpPr>
      <xdr:sp macro="" textlink="">
        <xdr:nvSpPr>
          <xdr:cNvPr id="3" name="Beszédbuborék: négyszög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 bwMode="auto">
          <a:xfrm>
            <a:off x="8397875" y="333376"/>
            <a:ext cx="4900613" cy="1333500"/>
          </a:xfrm>
          <a:prstGeom prst="wedgeRectCallout">
            <a:avLst>
              <a:gd name="adj1" fmla="val -86133"/>
              <a:gd name="adj2" fmla="val -445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hu-HU" sz="1100" b="1"/>
              <a:t>Teendő:</a:t>
            </a:r>
          </a:p>
          <a:p>
            <a:pPr algn="l"/>
            <a:r>
              <a:rPr lang="hu-HU" sz="1100" baseline="0"/>
              <a:t>Alaphelyzetben az első félévi tájékoztatót tartalmazza a táblázatok rendszere. Ha a háromnegyedéves készül majd kattintson ide</a:t>
            </a:r>
          </a:p>
          <a:p>
            <a:pPr algn="l"/>
            <a:endParaRPr lang="hu-HU" sz="1100" baseline="0"/>
          </a:p>
          <a:p>
            <a:pPr algn="l"/>
            <a:endParaRPr lang="hu-HU" sz="1100" baseline="0"/>
          </a:p>
          <a:p>
            <a:pPr algn="l"/>
            <a:endParaRPr lang="hu-HU" sz="1100" baseline="0"/>
          </a:p>
          <a:p>
            <a:pPr algn="l"/>
            <a:r>
              <a:rPr lang="hu-HU" sz="1100"/>
              <a:t>,ha</a:t>
            </a:r>
            <a:r>
              <a:rPr lang="hu-HU" sz="1100" baseline="0"/>
              <a:t> feljön az "I. félévi" és "III. negyedévi" akkor kattintson a "III. negyedévi"-re. </a:t>
            </a:r>
            <a:endParaRPr lang="hu-HU" sz="1100"/>
          </a:p>
        </xdr:txBody>
      </xdr:sp>
      <xdr:pic>
        <xdr:nvPicPr>
          <xdr:cNvPr id="459813" name="Kép 16">
            <a:extLst>
              <a:ext uri="{FF2B5EF4-FFF2-40B4-BE49-F238E27FC236}">
                <a16:creationId xmlns:a16="http://schemas.microsoft.com/office/drawing/2014/main" id="{00000000-0008-0000-0100-0000250407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16938" y="952501"/>
            <a:ext cx="1949550" cy="3730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Nyíl: balra mutató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 bwMode="auto">
          <a:xfrm>
            <a:off x="10354321" y="1023439"/>
            <a:ext cx="816769" cy="279755"/>
          </a:xfrm>
          <a:prstGeom prst="leftArrow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hu-HU"/>
          </a:p>
        </xdr:txBody>
      </xdr:sp>
    </xdr:grpSp>
    <xdr:clientData/>
  </xdr:twoCellAnchor>
  <xdr:twoCellAnchor>
    <xdr:from>
      <xdr:col>8</xdr:col>
      <xdr:colOff>476250</xdr:colOff>
      <xdr:row>10</xdr:row>
      <xdr:rowOff>123825</xdr:rowOff>
    </xdr:from>
    <xdr:to>
      <xdr:col>18</xdr:col>
      <xdr:colOff>66675</xdr:colOff>
      <xdr:row>29</xdr:row>
      <xdr:rowOff>9525</xdr:rowOff>
    </xdr:to>
    <xdr:grpSp>
      <xdr:nvGrpSpPr>
        <xdr:cNvPr id="459807" name="Csoportba foglalás 1">
          <a:extLst>
            <a:ext uri="{FF2B5EF4-FFF2-40B4-BE49-F238E27FC236}">
              <a16:creationId xmlns:a16="http://schemas.microsoft.com/office/drawing/2014/main" id="{00000000-0008-0000-0100-00001F040700}"/>
            </a:ext>
          </a:extLst>
        </xdr:cNvPr>
        <xdr:cNvGrpSpPr>
          <a:grpSpLocks/>
        </xdr:cNvGrpSpPr>
      </xdr:nvGrpSpPr>
      <xdr:grpSpPr bwMode="auto">
        <a:xfrm>
          <a:off x="8342313" y="1782763"/>
          <a:ext cx="4908550" cy="3346450"/>
          <a:chOff x="11829804" y="835103"/>
          <a:chExt cx="4895664" cy="3132965"/>
        </a:xfrm>
      </xdr:grpSpPr>
      <xdr:sp macro="" textlink="">
        <xdr:nvSpPr>
          <xdr:cNvPr id="7" name="Beszédbuborék: négyszög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11829804" y="1077481"/>
            <a:ext cx="4895664" cy="2890587"/>
          </a:xfrm>
          <a:prstGeom prst="wedgeRectCallout">
            <a:avLst>
              <a:gd name="adj1" fmla="val -59734"/>
              <a:gd name="adj2" fmla="val 9986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hu-HU" sz="1100" b="1"/>
              <a:t>Teendő:</a:t>
            </a:r>
          </a:p>
          <a:p>
            <a:pPr algn="l"/>
            <a:r>
              <a:rPr lang="hu-HU" sz="1100"/>
              <a:t>Ha nem a székhely</a:t>
            </a:r>
            <a:r>
              <a:rPr lang="hu-HU" sz="1100" baseline="0"/>
              <a:t> szerinti önkormányzatra készülnek a táblázatok, kattintson ide</a:t>
            </a:r>
          </a:p>
          <a:p>
            <a:pPr algn="l"/>
            <a:endParaRPr lang="hu-HU" sz="1100" baseline="0"/>
          </a:p>
          <a:p>
            <a:pPr algn="l"/>
            <a:endParaRPr lang="hu-HU" sz="1100" baseline="0"/>
          </a:p>
          <a:p>
            <a:pPr algn="l"/>
            <a:endParaRPr lang="hu-HU" sz="1100" baseline="0"/>
          </a:p>
          <a:p>
            <a:pPr algn="l"/>
            <a:r>
              <a:rPr lang="hu-HU" sz="1100"/>
              <a:t>,ha</a:t>
            </a:r>
            <a:r>
              <a:rPr lang="hu-HU" sz="1100" baseline="0"/>
              <a:t> feljön az "Igen" és "Nem" akkor kattintson a "Nem"-re. Ezt csak a  közös hivatallal rendelkező önkormányzatok esetében kell megtenni, polgármesteri hivatalok esetében minditg az alaphelyzetet (Igen) kell meghagyni!</a:t>
            </a:r>
          </a:p>
          <a:p>
            <a:pPr algn="l"/>
            <a:r>
              <a:rPr lang="hu-HU" sz="1100" b="1" baseline="0"/>
              <a:t>Magyarázat:</a:t>
            </a:r>
          </a:p>
          <a:p>
            <a:pPr algn="l"/>
            <a:r>
              <a:rPr lang="hu-HU" sz="1100" baseline="0"/>
              <a:t>Csak székhellyel rendelkező önkormányzatnál lehet közös hivatal, a többinél nem. ezért abban az esetben , ha másik önkormányzat táblázatait készítik az Igen-ről Nem-re történő váltásra azért van szükség, hogy a 6.1 (Önkormányzati táblázatok) melléklet számai után a költségvetési szervek melléklet számai 6.2.-vel folytatódjanak. A közös hivatal táblázatai továbbra is megmaradnak, de azokat ebben az esetben nem kell kinyomtatni. Ezt a műveletet a rendszer minden blokknál (Költségvetési rendelet, költségvetési rendelet módosítása, előirányzatok nyilvántartása, időközi tájékoztató, zárszámadási rendelet) elvégzi.</a:t>
            </a:r>
            <a:endParaRPr lang="hu-HU" sz="1100"/>
          </a:p>
        </xdr:txBody>
      </xdr:sp>
      <xdr:pic>
        <xdr:nvPicPr>
          <xdr:cNvPr id="459810" name="Kép 3">
            <a:extLst>
              <a:ext uri="{FF2B5EF4-FFF2-40B4-BE49-F238E27FC236}">
                <a16:creationId xmlns:a16="http://schemas.microsoft.com/office/drawing/2014/main" id="{00000000-0008-0000-0100-0000220407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466" t="43756" r="75948" b="52979"/>
          <a:stretch>
            <a:fillRect/>
          </a:stretch>
        </xdr:blipFill>
        <xdr:spPr bwMode="auto">
          <a:xfrm>
            <a:off x="13374303" y="835103"/>
            <a:ext cx="1357313" cy="4817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Nyíl: balra mutató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2009722" y="996689"/>
            <a:ext cx="814366" cy="251355"/>
          </a:xfrm>
          <a:prstGeom prst="leftArrow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hu-HU"/>
          </a:p>
        </xdr:txBody>
      </xdr:sp>
    </xdr:grpSp>
    <xdr:clientData/>
  </xdr:twoCellAnchor>
  <xdr:twoCellAnchor>
    <xdr:from>
      <xdr:col>8</xdr:col>
      <xdr:colOff>500062</xdr:colOff>
      <xdr:row>29</xdr:row>
      <xdr:rowOff>47625</xdr:rowOff>
    </xdr:from>
    <xdr:to>
      <xdr:col>18</xdr:col>
      <xdr:colOff>79375</xdr:colOff>
      <xdr:row>36</xdr:row>
      <xdr:rowOff>87313</xdr:rowOff>
    </xdr:to>
    <xdr:sp macro="" textlink="">
      <xdr:nvSpPr>
        <xdr:cNvPr id="10" name="Téglalap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66125" y="5167313"/>
          <a:ext cx="4897438" cy="1222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100"/>
            <a:t>A KV_1.1.sz.mell.</a:t>
          </a:r>
          <a:r>
            <a:rPr lang="hu-HU" sz="1100" baseline="0"/>
            <a:t> fülnél a </a:t>
          </a:r>
          <a:r>
            <a:rPr lang="hu-HU" sz="1100" b="1" i="1" baseline="0"/>
            <a:t>4. Közhatalmi bevételek </a:t>
          </a:r>
          <a:r>
            <a:rPr lang="hu-HU" sz="1100" baseline="0"/>
            <a:t>bevételi jogcímei, abban az esetben ha az önkormányzatnál más bevételi jogcímek is előfordulnak, akkor bármelyik bevételi jogcím átírható arra, amit szerepeltetni szeretne az önkormányzat. </a:t>
          </a:r>
        </a:p>
        <a:p>
          <a:pPr algn="l"/>
          <a:r>
            <a:rPr lang="hu-HU" sz="1100" b="1" baseline="0"/>
            <a:t>Ezt csak a KV_1.1.sz.mell. fülnél kell elvégzeni, a többi táblázat automatikusan javítódik!</a:t>
          </a:r>
          <a:endParaRPr lang="hu-HU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1">
    <pageSetUpPr fitToPage="1"/>
  </sheetPr>
  <dimension ref="A1:C36"/>
  <sheetViews>
    <sheetView zoomScale="120" zoomScaleNormal="120" workbookViewId="0">
      <selection activeCell="F24" sqref="F24"/>
    </sheetView>
  </sheetViews>
  <sheetFormatPr defaultRowHeight="12.75" x14ac:dyDescent="0.2"/>
  <cols>
    <col min="1" max="1" width="28.5" customWidth="1"/>
    <col min="2" max="2" width="107.5" customWidth="1"/>
    <col min="3" max="3" width="32.6640625" customWidth="1"/>
  </cols>
  <sheetData>
    <row r="1" spans="1:3" x14ac:dyDescent="0.2">
      <c r="A1" s="244">
        <v>2024</v>
      </c>
    </row>
    <row r="2" spans="1:3" ht="18.75" x14ac:dyDescent="0.2">
      <c r="A2" s="518" t="s">
        <v>212</v>
      </c>
      <c r="B2" s="518"/>
      <c r="C2" s="518"/>
    </row>
    <row r="3" spans="1:3" ht="15" x14ac:dyDescent="0.25">
      <c r="A3" s="176"/>
      <c r="B3" s="177"/>
      <c r="C3" s="176"/>
    </row>
    <row r="4" spans="1:3" ht="14.25" x14ac:dyDescent="0.2">
      <c r="A4" s="178" t="s">
        <v>238</v>
      </c>
      <c r="B4" s="179" t="s">
        <v>237</v>
      </c>
      <c r="C4" s="178" t="s">
        <v>213</v>
      </c>
    </row>
    <row r="5" spans="1:3" x14ac:dyDescent="0.2">
      <c r="A5" s="180"/>
      <c r="B5" s="180"/>
      <c r="C5" s="180"/>
    </row>
    <row r="6" spans="1:3" ht="18.75" x14ac:dyDescent="0.3">
      <c r="A6" s="519" t="str">
        <f>CONCATENATE("IDŐKÖZI (",UPPER(IB_ALAPADATOK!C8)," BESZÁMOLÓ) TÁJÉKOZTATÓ")</f>
        <v>IDŐKÖZI (I. FÉLÉVES BESZÁMOLÓ) TÁJÉKOZTATÓ</v>
      </c>
      <c r="B6" s="519"/>
      <c r="C6" s="519"/>
    </row>
    <row r="7" spans="1:3" x14ac:dyDescent="0.2">
      <c r="A7" s="180" t="s">
        <v>239</v>
      </c>
      <c r="B7" s="180" t="s">
        <v>240</v>
      </c>
      <c r="C7" s="201" t="str">
        <f ca="1">HYPERLINK(SUBSTITUTE(CELL("address",IB_ALAPADATOK!A1),"'",""),SUBSTITUTE(MID(CELL("address",IB_ALAPADATOK!A1),SEARCH("]",CELL("address",IB_ALAPADATOK!A1),1)+1,LEN(CELL("address",IB_ALAPADATOK!A1))-SEARCH("]",CELL("address",IB_ALAPADATOK!A1),1)),"'",""))</f>
        <v>IB_ALAPADATOK!$A$1</v>
      </c>
    </row>
    <row r="8" spans="1:3" x14ac:dyDescent="0.2">
      <c r="A8" s="180" t="s">
        <v>241</v>
      </c>
      <c r="B8" s="180" t="s">
        <v>262</v>
      </c>
      <c r="C8" s="201" t="str">
        <f ca="1">HYPERLINK(SUBSTITUTE(CELL("address",IB_ÖSSZEFÜGGÉSEK!A1),"'",""),SUBSTITUTE(MID(CELL("address",IB_ÖSSZEFÜGGÉSEK!A1),SEARCH("]",CELL("address",IB_ÖSSZEFÜGGÉSEK!A1),1)+1,LEN(CELL("address",IB_ÖSSZEFÜGGÉSEK!A1))-SEARCH("]",CELL("address",IB_ÖSSZEFÜGGÉSEK!A1),1)),"'",""))</f>
        <v>IB_ÖSSZEFÜGGÉSEK!$A$1</v>
      </c>
    </row>
    <row r="9" spans="1:3" x14ac:dyDescent="0.2">
      <c r="A9" s="180" t="s">
        <v>242</v>
      </c>
      <c r="B9" s="180" t="str">
        <f>CONCATENATE(IB_1.1.sz.mell.!A3)</f>
        <v>Tájékoztatató a 2024. évi költségvetés  I. féléves alakulásáról</v>
      </c>
      <c r="C9" s="201" t="str">
        <f ca="1">HYPERLINK(SUBSTITUTE(CELL("address",IB_1.1.sz.mell.!A1),"'",""),SUBSTITUTE(MID(CELL("address",IB_1.1.sz.mell.!A1),SEARCH("]",CELL("address",IB_1.1.sz.mell.!A1),1)+1,LEN(CELL("address",IB_1.1.sz.mell.!A1))-SEARCH("]",CELL("address",IB_1.1.sz.mell.!A1),1)),"'",""))</f>
        <v>IB_1.1.sz.mell.!$A$1</v>
      </c>
    </row>
    <row r="10" spans="1:3" x14ac:dyDescent="0.2">
      <c r="A10" s="180" t="s">
        <v>243</v>
      </c>
      <c r="B10" s="180" t="e">
        <f>#REF!</f>
        <v>#REF!</v>
      </c>
      <c r="C10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11" spans="1:3" x14ac:dyDescent="0.2">
      <c r="A11" s="180" t="s">
        <v>244</v>
      </c>
      <c r="B11" s="180" t="e">
        <f>#REF!</f>
        <v>#REF!</v>
      </c>
      <c r="C11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12" spans="1:3" x14ac:dyDescent="0.2">
      <c r="A12" s="180" t="s">
        <v>245</v>
      </c>
      <c r="B12" s="180" t="e">
        <f>#REF!</f>
        <v>#REF!</v>
      </c>
      <c r="C12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13" spans="1:3" x14ac:dyDescent="0.2">
      <c r="A13" s="180" t="s">
        <v>246</v>
      </c>
      <c r="B13" s="180" t="s">
        <v>247</v>
      </c>
      <c r="C13" s="201" t="str">
        <f ca="1">HYPERLINK(SUBSTITUTE(CELL("address",IB_2.1.sz.mell!A1),"'",""),SUBSTITUTE(MID(CELL("address",IB_2.1.sz.mell!A1),SEARCH("]",CELL("address",IB_2.1.sz.mell!A1),1)+1,LEN(CELL("address",IB_2.1.sz.mell!A1))-SEARCH("]",CELL("address",IB_2.1.sz.mell!A1),1)),"'",""))</f>
        <v>IB_2.1.sz.mell!$A$1</v>
      </c>
    </row>
    <row r="14" spans="1:3" x14ac:dyDescent="0.2">
      <c r="A14" s="180" t="s">
        <v>248</v>
      </c>
      <c r="B14" s="180" t="s">
        <v>249</v>
      </c>
      <c r="C14" s="201" t="str">
        <f ca="1">HYPERLINK(SUBSTITUTE(CELL("address",IB_2.2.sz.mell!A1),"'",""),SUBSTITUTE(MID(CELL("address",IB_2.2.sz.mell!A1),SEARCH("]",CELL("address",IB_2.2.sz.mell!A1),1)+1,LEN(CELL("address",IB_2.2.sz.mell!A1))-SEARCH("]",CELL("address",IB_2.2.sz.mell!A1),1)),"'",""))</f>
        <v>IB_2.2.sz.mell!$A$1</v>
      </c>
    </row>
    <row r="15" spans="1:3" x14ac:dyDescent="0.2">
      <c r="A15" s="180" t="s">
        <v>250</v>
      </c>
      <c r="B15" s="180" t="s">
        <v>251</v>
      </c>
      <c r="C15" s="201" t="str">
        <f ca="1">HYPERLINK(SUBSTITUTE(CELL("address",IB_ELLENŐRZÉS!A1),"'",""),SUBSTITUTE(MID(CELL("address",IB_ELLENŐRZÉS!A1),SEARCH("]",CELL("address",IB_ELLENŐRZÉS!A1),1)+1,LEN(CELL("address",IB_ELLENŐRZÉS!A1))-SEARCH("]",CELL("address",IB_ELLENŐRZÉS!A1),1)),"'",""))</f>
        <v>IB_ELLENŐRZÉS!$A$1</v>
      </c>
    </row>
    <row r="16" spans="1:3" x14ac:dyDescent="0.2">
      <c r="A16" s="180" t="s">
        <v>252</v>
      </c>
      <c r="B16" s="180" t="s">
        <v>0</v>
      </c>
      <c r="C16" s="201" t="str">
        <f ca="1">HYPERLINK(SUBSTITUTE(CELL("address",IB_3.sz.mell.!A1),"'",""),SUBSTITUTE(MID(CELL("address",IB_3.sz.mell.!A1),SEARCH("]",CELL("address",IB_3.sz.mell.!A1),1)+1,LEN(CELL("address",IB_3.sz.mell.!A1))-SEARCH("]",CELL("address",IB_3.sz.mell.!A1),1)),"'",""))</f>
        <v>IB_3.sz.mell.!$A$1</v>
      </c>
    </row>
    <row r="17" spans="1:3" x14ac:dyDescent="0.2">
      <c r="A17" s="180" t="s">
        <v>253</v>
      </c>
      <c r="B17" s="180" t="s">
        <v>1</v>
      </c>
      <c r="C17" s="201" t="str">
        <f ca="1">HYPERLINK(SUBSTITUTE(CELL("address",IB_4.sz.mell.!A1),"'",""),SUBSTITUTE(MID(CELL("address",IB_4.sz.mell.!A1),SEARCH("]",CELL("address",IB_4.sz.mell.!A1),1)+1,LEN(CELL("address",IB_4.sz.mell.!A1))-SEARCH("]",CELL("address",IB_4.sz.mell.!A1),1)),"'",""))</f>
        <v>IB_4.sz.mell.!$A$1</v>
      </c>
    </row>
    <row r="18" spans="1:3" x14ac:dyDescent="0.2">
      <c r="A18" s="180" t="s">
        <v>254</v>
      </c>
      <c r="B18" s="180" t="e">
        <f>#REF!</f>
        <v>#REF!</v>
      </c>
      <c r="C18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19" spans="1:3" x14ac:dyDescent="0.2">
      <c r="A19" s="180" t="s">
        <v>263</v>
      </c>
      <c r="B19" s="180" t="s">
        <v>264</v>
      </c>
      <c r="C19" s="201" t="str">
        <f ca="1">HYPERLINK(SUBSTITUTE(CELL("address",IB_5.1.sz.mell!A1),"'",""),SUBSTITUTE(MID(CELL("address",IB_5.1.sz.mell!A1),SEARCH("]",CELL("address",IB_5.1.sz.mell!A1),1)+1,LEN(CELL("address",IB_5.1.sz.mell!A1))-SEARCH("]",CELL("address",IB_5.1.sz.mell!A1),1)),"'",""))</f>
        <v>IB_5.1.sz.mell!$A$1</v>
      </c>
    </row>
    <row r="20" spans="1:3" x14ac:dyDescent="0.2">
      <c r="A20" s="180" t="s">
        <v>265</v>
      </c>
      <c r="B20" s="180" t="s">
        <v>266</v>
      </c>
      <c r="C20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1" spans="1:3" x14ac:dyDescent="0.2">
      <c r="A21" s="180" t="s">
        <v>267</v>
      </c>
      <c r="B21" s="180" t="s">
        <v>161</v>
      </c>
      <c r="C21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2" spans="1:3" x14ac:dyDescent="0.2">
      <c r="A22" s="180" t="s">
        <v>268</v>
      </c>
      <c r="B22" s="180" t="s">
        <v>269</v>
      </c>
      <c r="C22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3" spans="1:3" x14ac:dyDescent="0.2">
      <c r="A23" s="180" t="s">
        <v>270</v>
      </c>
      <c r="B23" s="180" t="s">
        <v>215</v>
      </c>
      <c r="C23" s="201" t="str">
        <f ca="1">HYPERLINK(SUBSTITUTE(CELL("address",IB_5.2.sz.mell!A1),"'",""),SUBSTITUTE(MID(CELL("address",IB_5.2.sz.mell!A1),SEARCH("]",CELL("address",IB_5.2.sz.mell!A1),1)+1,LEN(CELL("address",IB_5.2.sz.mell!A1))-SEARCH("]",CELL("address",IB_5.2.sz.mell!A1),1)),"'",""))</f>
        <v>IB_5.2.sz.mell!$A$1</v>
      </c>
    </row>
    <row r="24" spans="1:3" x14ac:dyDescent="0.2">
      <c r="A24" s="180" t="s">
        <v>271</v>
      </c>
      <c r="B24" s="180" t="s">
        <v>289</v>
      </c>
      <c r="C24" s="201" t="str">
        <f ca="1">HYPERLINK(SUBSTITUTE(CELL("address",IB_5.3.sz.mell!A1),"'",""),SUBSTITUTE(MID(CELL("address",IB_5.3.sz.mell!A1),SEARCH("]",CELL("address",IB_5.3.sz.mell!A1),1)+1,LEN(CELL("address",IB_5.3.sz.mell!A1))-SEARCH("]",CELL("address",IB_5.3.sz.mell!A1),1)),"'",""))</f>
        <v>IB_5.3.sz.mell!$A$1</v>
      </c>
    </row>
    <row r="25" spans="1:3" x14ac:dyDescent="0.2">
      <c r="A25" s="180" t="s">
        <v>272</v>
      </c>
      <c r="B25" s="180" t="s">
        <v>225</v>
      </c>
      <c r="C25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6" spans="1:3" x14ac:dyDescent="0.2">
      <c r="A26" s="180" t="s">
        <v>273</v>
      </c>
      <c r="B26" s="180" t="s">
        <v>226</v>
      </c>
      <c r="C26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7" spans="1:3" x14ac:dyDescent="0.2">
      <c r="A27" s="180" t="s">
        <v>274</v>
      </c>
      <c r="B27" s="180" t="s">
        <v>227</v>
      </c>
      <c r="C27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8" spans="1:3" x14ac:dyDescent="0.2">
      <c r="A28" s="180" t="s">
        <v>275</v>
      </c>
      <c r="B28" s="180" t="s">
        <v>228</v>
      </c>
      <c r="C28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9" spans="1:3" x14ac:dyDescent="0.2">
      <c r="A29" s="180" t="s">
        <v>276</v>
      </c>
      <c r="B29" s="180" t="s">
        <v>229</v>
      </c>
      <c r="C29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30" spans="1:3" x14ac:dyDescent="0.2">
      <c r="A30" s="180" t="s">
        <v>277</v>
      </c>
      <c r="B30" s="180" t="s">
        <v>230</v>
      </c>
      <c r="C30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31" spans="1:3" x14ac:dyDescent="0.2">
      <c r="A31" s="180" t="s">
        <v>278</v>
      </c>
      <c r="B31" s="180" t="s">
        <v>231</v>
      </c>
      <c r="C31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32" spans="1:3" x14ac:dyDescent="0.2">
      <c r="A32" s="180" t="s">
        <v>279</v>
      </c>
      <c r="B32" s="180" t="s">
        <v>232</v>
      </c>
      <c r="C32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33" spans="1:3" x14ac:dyDescent="0.2">
      <c r="A33" s="180" t="s">
        <v>280</v>
      </c>
      <c r="B33" s="180" t="s">
        <v>233</v>
      </c>
      <c r="C33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34" spans="1:3" x14ac:dyDescent="0.2">
      <c r="A34" s="180" t="s">
        <v>255</v>
      </c>
      <c r="B34" t="e">
        <f>#REF!</f>
        <v>#REF!</v>
      </c>
      <c r="C34" s="201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35" spans="1:3" x14ac:dyDescent="0.2">
      <c r="A35" s="180" t="s">
        <v>256</v>
      </c>
      <c r="B35" t="str">
        <f>IB_6.sz.mell!A2</f>
        <v>K I M U T A T Á S
 a 2024. évben céljelleggel juttatott támogatásokról</v>
      </c>
      <c r="C35" s="201" t="str">
        <f ca="1">HYPERLINK(SUBSTITUTE(CELL("address",IB_6.sz.mell!A1),"'",""),SUBSTITUTE(MID(CELL("address",IB_6.sz.mell!A1),SEARCH("]",CELL("address",IB_6.sz.mell!A1),1)+1,LEN(CELL("address",IB_6.sz.mell!A1))-SEARCH("]",CELL("address",IB_6.sz.mell!A1),1)),"'",""))</f>
        <v>IB_6.sz.mell!$A$1</v>
      </c>
    </row>
    <row r="36" spans="1:3" x14ac:dyDescent="0.2">
      <c r="A36" s="180" t="s">
        <v>250</v>
      </c>
      <c r="B36" t="str">
        <f>ELLENŐRZÉS_IB!A3</f>
        <v>A 1.1. és a 9.1+…9.12. mellékletek egyezőségeinek ellenőrzéséhez</v>
      </c>
      <c r="C36" s="201" t="s">
        <v>500</v>
      </c>
    </row>
  </sheetData>
  <mergeCells count="2">
    <mergeCell ref="A2:C2"/>
    <mergeCell ref="A6:C6"/>
  </mergeCells>
  <phoneticPr fontId="23" type="noConversion"/>
  <hyperlinks>
    <hyperlink ref="C36" location="ELLENŐRZÉS_IB!A1" display="ELLENŐRZÉS_IB!A1"/>
  </hyperlink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4">
    <tabColor theme="8"/>
  </sheetPr>
  <dimension ref="A1:K159"/>
  <sheetViews>
    <sheetView zoomScale="120" zoomScaleNormal="120" zoomScaleSheetLayoutView="100" workbookViewId="0">
      <selection activeCell="K12" sqref="K12"/>
    </sheetView>
  </sheetViews>
  <sheetFormatPr defaultRowHeight="12.75" x14ac:dyDescent="0.2"/>
  <cols>
    <col min="1" max="1" width="16.1640625" style="108" customWidth="1"/>
    <col min="2" max="2" width="63.83203125" style="109" customWidth="1"/>
    <col min="3" max="3" width="14.1640625" style="110" customWidth="1"/>
    <col min="4" max="5" width="14.1640625" style="2" customWidth="1"/>
    <col min="6" max="16384" width="9.33203125" style="2"/>
  </cols>
  <sheetData>
    <row r="1" spans="1:5" s="1" customFormat="1" ht="16.5" customHeight="1" thickBot="1" x14ac:dyDescent="0.3">
      <c r="A1" s="184"/>
      <c r="B1" s="550" t="s">
        <v>650</v>
      </c>
      <c r="C1" s="551"/>
      <c r="D1" s="551"/>
      <c r="E1" s="551"/>
    </row>
    <row r="2" spans="1:5" s="32" customFormat="1" ht="21.2" customHeight="1" thickBot="1" x14ac:dyDescent="0.25">
      <c r="A2" s="276"/>
      <c r="B2" s="552" t="str">
        <f>CONCATENATE(IB_ALAPADATOK!A3)</f>
        <v>Bátaszék Város Önkormányzata</v>
      </c>
      <c r="C2" s="552"/>
      <c r="D2" s="552"/>
      <c r="E2" s="277" t="s">
        <v>32</v>
      </c>
    </row>
    <row r="3" spans="1:5" s="32" customFormat="1" ht="16.5" thickBot="1" x14ac:dyDescent="0.25">
      <c r="A3" s="276"/>
      <c r="B3" s="552" t="s">
        <v>156</v>
      </c>
      <c r="C3" s="552"/>
      <c r="D3" s="552"/>
      <c r="E3" s="278" t="s">
        <v>32</v>
      </c>
    </row>
    <row r="4" spans="1:5" s="33" customFormat="1" ht="15.95" customHeight="1" thickBot="1" x14ac:dyDescent="0.3">
      <c r="A4" s="185"/>
      <c r="B4" s="185"/>
      <c r="C4" s="186"/>
      <c r="D4" s="279"/>
      <c r="E4" s="186" t="e">
        <f>IB_4.sz.mell.!#REF!</f>
        <v>#REF!</v>
      </c>
    </row>
    <row r="5" spans="1:5" ht="24.75" thickBot="1" x14ac:dyDescent="0.25">
      <c r="A5" s="187" t="s">
        <v>65</v>
      </c>
      <c r="B5" s="188" t="s">
        <v>204</v>
      </c>
      <c r="C5" s="188" t="s">
        <v>285</v>
      </c>
      <c r="D5" s="280" t="s">
        <v>286</v>
      </c>
      <c r="E5" s="281" t="str">
        <f>+CONCATENATE(IB_ALAPADATOK!B7,IB_ALAPADATOK!C9," teljesítés")</f>
        <v>2024. VI. 30. teljesítés</v>
      </c>
    </row>
    <row r="6" spans="1:5" s="29" customFormat="1" ht="12.95" customHeight="1" thickBot="1" x14ac:dyDescent="0.25">
      <c r="A6" s="52" t="s">
        <v>190</v>
      </c>
      <c r="B6" s="53" t="s">
        <v>191</v>
      </c>
      <c r="C6" s="53" t="s">
        <v>192</v>
      </c>
      <c r="D6" s="282" t="s">
        <v>194</v>
      </c>
      <c r="E6" s="54" t="s">
        <v>193</v>
      </c>
    </row>
    <row r="7" spans="1:5" s="29" customFormat="1" ht="15.95" customHeight="1" thickBot="1" x14ac:dyDescent="0.25">
      <c r="A7" s="553" t="s">
        <v>33</v>
      </c>
      <c r="B7" s="554"/>
      <c r="C7" s="554"/>
      <c r="D7" s="554"/>
      <c r="E7" s="555"/>
    </row>
    <row r="8" spans="1:5" s="29" customFormat="1" ht="12" customHeight="1" thickBot="1" x14ac:dyDescent="0.25">
      <c r="A8" s="18">
        <v>1</v>
      </c>
      <c r="B8" s="13" t="s">
        <v>441</v>
      </c>
      <c r="C8" s="115">
        <f>C17+C18+C19+C20+C21</f>
        <v>954615280</v>
      </c>
      <c r="D8" s="115">
        <v>983656380</v>
      </c>
      <c r="E8" s="66">
        <f>E17+E18+E19+E20+E21</f>
        <v>549323692</v>
      </c>
    </row>
    <row r="9" spans="1:5" s="34" customFormat="1" ht="12" customHeight="1" x14ac:dyDescent="0.2">
      <c r="A9" s="134" t="s">
        <v>293</v>
      </c>
      <c r="B9" s="127" t="s">
        <v>82</v>
      </c>
      <c r="C9" s="117">
        <v>232331548</v>
      </c>
      <c r="D9" s="219">
        <v>232331548</v>
      </c>
      <c r="E9" s="68">
        <v>120812406</v>
      </c>
    </row>
    <row r="10" spans="1:5" s="35" customFormat="1" ht="12" customHeight="1" x14ac:dyDescent="0.2">
      <c r="A10" s="135" t="s">
        <v>294</v>
      </c>
      <c r="B10" s="128" t="s">
        <v>83</v>
      </c>
      <c r="C10" s="117">
        <v>348088510</v>
      </c>
      <c r="D10" s="220">
        <v>348088510</v>
      </c>
      <c r="E10" s="67">
        <v>182976170</v>
      </c>
    </row>
    <row r="11" spans="1:5" s="35" customFormat="1" ht="12" customHeight="1" x14ac:dyDescent="0.2">
      <c r="A11" s="135" t="s">
        <v>295</v>
      </c>
      <c r="B11" s="128" t="s">
        <v>84</v>
      </c>
      <c r="C11" s="117">
        <v>125297160</v>
      </c>
      <c r="D11" s="220">
        <v>125297160</v>
      </c>
      <c r="E11" s="67">
        <v>72675807</v>
      </c>
    </row>
    <row r="12" spans="1:5" s="35" customFormat="1" ht="12" customHeight="1" x14ac:dyDescent="0.2">
      <c r="A12" s="135" t="s">
        <v>296</v>
      </c>
      <c r="B12" s="128" t="s">
        <v>396</v>
      </c>
      <c r="C12" s="117">
        <v>127035522</v>
      </c>
      <c r="D12" s="220">
        <v>127035522</v>
      </c>
      <c r="E12" s="67">
        <v>66058473</v>
      </c>
    </row>
    <row r="13" spans="1:5" s="35" customFormat="1" ht="12" customHeight="1" x14ac:dyDescent="0.2">
      <c r="A13" s="135" t="s">
        <v>297</v>
      </c>
      <c r="B13" s="128" t="s">
        <v>85</v>
      </c>
      <c r="C13" s="117">
        <f>13939687+4047853</f>
        <v>17987540</v>
      </c>
      <c r="D13" s="220">
        <v>17987540</v>
      </c>
      <c r="E13" s="67">
        <v>9353519</v>
      </c>
    </row>
    <row r="14" spans="1:5" s="34" customFormat="1" ht="12" customHeight="1" x14ac:dyDescent="0.2">
      <c r="A14" s="136" t="s">
        <v>298</v>
      </c>
      <c r="B14" s="129" t="s">
        <v>169</v>
      </c>
      <c r="C14" s="117"/>
      <c r="D14" s="221">
        <v>0</v>
      </c>
      <c r="E14" s="69"/>
    </row>
    <row r="15" spans="1:5" s="34" customFormat="1" ht="12" customHeight="1" x14ac:dyDescent="0.2">
      <c r="A15" s="331" t="s">
        <v>314</v>
      </c>
      <c r="B15" s="74" t="s">
        <v>170</v>
      </c>
      <c r="C15" s="117"/>
      <c r="D15" s="220">
        <v>2056856</v>
      </c>
      <c r="E15" s="67">
        <v>2056856</v>
      </c>
    </row>
    <row r="16" spans="1:5" s="34" customFormat="1" ht="12" customHeight="1" x14ac:dyDescent="0.2">
      <c r="A16" s="134" t="s">
        <v>292</v>
      </c>
      <c r="B16" s="127" t="s">
        <v>86</v>
      </c>
      <c r="C16" s="380"/>
      <c r="D16" s="219">
        <v>0</v>
      </c>
      <c r="E16" s="68"/>
    </row>
    <row r="17" spans="1:5" s="34" customFormat="1" ht="12" customHeight="1" x14ac:dyDescent="0.2">
      <c r="A17" s="134" t="s">
        <v>234</v>
      </c>
      <c r="B17" s="329" t="s">
        <v>378</v>
      </c>
      <c r="C17" s="381">
        <f>SUM(C9:C16)</f>
        <v>850740280</v>
      </c>
      <c r="D17" s="209">
        <v>852797136</v>
      </c>
      <c r="E17" s="210">
        <f>SUM(E9:E16)</f>
        <v>453933231</v>
      </c>
    </row>
    <row r="18" spans="1:5" s="34" customFormat="1" ht="12" customHeight="1" x14ac:dyDescent="0.2">
      <c r="A18" s="135" t="s">
        <v>235</v>
      </c>
      <c r="B18" s="128" t="s">
        <v>87</v>
      </c>
      <c r="C18" s="117"/>
      <c r="D18" s="219">
        <v>0</v>
      </c>
      <c r="E18" s="68"/>
    </row>
    <row r="19" spans="1:5" s="34" customFormat="1" ht="12" customHeight="1" x14ac:dyDescent="0.2">
      <c r="A19" s="135" t="s">
        <v>236</v>
      </c>
      <c r="B19" s="128" t="s">
        <v>163</v>
      </c>
      <c r="C19" s="117"/>
      <c r="D19" s="219">
        <v>0</v>
      </c>
      <c r="E19" s="68"/>
    </row>
    <row r="20" spans="1:5" s="34" customFormat="1" ht="12" customHeight="1" x14ac:dyDescent="0.2">
      <c r="A20" s="135" t="s">
        <v>299</v>
      </c>
      <c r="B20" s="128" t="s">
        <v>164</v>
      </c>
      <c r="C20" s="117"/>
      <c r="D20" s="219">
        <v>0</v>
      </c>
      <c r="E20" s="68"/>
    </row>
    <row r="21" spans="1:5" s="34" customFormat="1" ht="12" customHeight="1" x14ac:dyDescent="0.2">
      <c r="A21" s="135" t="s">
        <v>300</v>
      </c>
      <c r="B21" s="128" t="s">
        <v>88</v>
      </c>
      <c r="C21" s="117">
        <v>103875000</v>
      </c>
      <c r="D21" s="219">
        <v>130859244</v>
      </c>
      <c r="E21" s="68">
        <v>95390461</v>
      </c>
    </row>
    <row r="22" spans="1:5" s="35" customFormat="1" ht="12" customHeight="1" thickBot="1" x14ac:dyDescent="0.25">
      <c r="A22" s="136" t="s">
        <v>315</v>
      </c>
      <c r="B22" s="129" t="s">
        <v>363</v>
      </c>
      <c r="C22" s="117"/>
      <c r="D22" s="219">
        <v>0</v>
      </c>
      <c r="E22" s="68"/>
    </row>
    <row r="23" spans="1:5" s="35" customFormat="1" ht="12" customHeight="1" thickBot="1" x14ac:dyDescent="0.25">
      <c r="A23" s="18">
        <v>16</v>
      </c>
      <c r="B23" s="13" t="s">
        <v>364</v>
      </c>
      <c r="C23" s="115">
        <f>+C24+C25+C26+C27+C28</f>
        <v>18831116</v>
      </c>
      <c r="D23" s="115">
        <v>18831116</v>
      </c>
      <c r="E23" s="66">
        <f>SUM(E24:E28)</f>
        <v>6225000</v>
      </c>
    </row>
    <row r="24" spans="1:5" s="35" customFormat="1" ht="12" customHeight="1" x14ac:dyDescent="0.2">
      <c r="A24" s="134" t="s">
        <v>302</v>
      </c>
      <c r="B24" s="127" t="s">
        <v>89</v>
      </c>
      <c r="C24" s="117">
        <v>6225000</v>
      </c>
      <c r="D24" s="219">
        <v>6225000</v>
      </c>
      <c r="E24" s="68">
        <v>6225000</v>
      </c>
    </row>
    <row r="25" spans="1:5" s="34" customFormat="1" ht="12" customHeight="1" x14ac:dyDescent="0.2">
      <c r="A25" s="135" t="s">
        <v>303</v>
      </c>
      <c r="B25" s="128" t="s">
        <v>90</v>
      </c>
      <c r="C25" s="116"/>
      <c r="D25" s="220">
        <v>0</v>
      </c>
      <c r="E25" s="67"/>
    </row>
    <row r="26" spans="1:5" s="35" customFormat="1" ht="12" customHeight="1" x14ac:dyDescent="0.2">
      <c r="A26" s="135" t="s">
        <v>304</v>
      </c>
      <c r="B26" s="128" t="s">
        <v>165</v>
      </c>
      <c r="C26" s="116"/>
      <c r="D26" s="220">
        <v>0</v>
      </c>
      <c r="E26" s="67"/>
    </row>
    <row r="27" spans="1:5" s="35" customFormat="1" ht="12" customHeight="1" x14ac:dyDescent="0.2">
      <c r="A27" s="135" t="s">
        <v>305</v>
      </c>
      <c r="B27" s="128" t="s">
        <v>166</v>
      </c>
      <c r="C27" s="116"/>
      <c r="D27" s="220">
        <v>0</v>
      </c>
      <c r="E27" s="67"/>
    </row>
    <row r="28" spans="1:5" s="35" customFormat="1" ht="12" customHeight="1" x14ac:dyDescent="0.2">
      <c r="A28" s="135" t="s">
        <v>306</v>
      </c>
      <c r="B28" s="128" t="s">
        <v>91</v>
      </c>
      <c r="C28" s="116">
        <v>12606116</v>
      </c>
      <c r="D28" s="220">
        <v>12606116</v>
      </c>
      <c r="E28" s="67"/>
    </row>
    <row r="29" spans="1:5" s="35" customFormat="1" ht="12" customHeight="1" thickBot="1" x14ac:dyDescent="0.25">
      <c r="A29" s="136" t="s">
        <v>316</v>
      </c>
      <c r="B29" s="129" t="s">
        <v>412</v>
      </c>
      <c r="C29" s="116">
        <v>9806116</v>
      </c>
      <c r="D29" s="221">
        <v>9806116</v>
      </c>
      <c r="E29" s="69"/>
    </row>
    <row r="30" spans="1:5" s="35" customFormat="1" ht="12" customHeight="1" thickBot="1" x14ac:dyDescent="0.25">
      <c r="A30" s="18">
        <v>23</v>
      </c>
      <c r="B30" s="13" t="s">
        <v>365</v>
      </c>
      <c r="C30" s="121">
        <f>SUM(C31:C37)</f>
        <v>435000000</v>
      </c>
      <c r="D30" s="121">
        <v>435000000</v>
      </c>
      <c r="E30" s="146">
        <f>SUM(E31:E37)</f>
        <v>210536735</v>
      </c>
    </row>
    <row r="31" spans="1:5" s="35" customFormat="1" ht="12" customHeight="1" x14ac:dyDescent="0.2">
      <c r="A31" s="134" t="s">
        <v>308</v>
      </c>
      <c r="B31" s="127" t="s">
        <v>201</v>
      </c>
      <c r="C31" s="117"/>
      <c r="D31" s="117">
        <v>0</v>
      </c>
      <c r="E31" s="68"/>
    </row>
    <row r="32" spans="1:5" s="35" customFormat="1" ht="12" customHeight="1" x14ac:dyDescent="0.2">
      <c r="A32" s="135" t="s">
        <v>309</v>
      </c>
      <c r="B32" s="127" t="s">
        <v>646</v>
      </c>
      <c r="C32" s="116">
        <v>32000000</v>
      </c>
      <c r="D32" s="116">
        <v>32000000</v>
      </c>
      <c r="E32" s="67">
        <v>14915250</v>
      </c>
    </row>
    <row r="33" spans="1:5" s="35" customFormat="1" ht="12" customHeight="1" x14ac:dyDescent="0.2">
      <c r="A33" s="135" t="s">
        <v>310</v>
      </c>
      <c r="B33" s="127" t="s">
        <v>202</v>
      </c>
      <c r="C33" s="116">
        <v>400000000</v>
      </c>
      <c r="D33" s="116">
        <v>400000000</v>
      </c>
      <c r="E33" s="67">
        <v>194818055</v>
      </c>
    </row>
    <row r="34" spans="1:5" s="35" customFormat="1" ht="12" customHeight="1" x14ac:dyDescent="0.2">
      <c r="A34" s="135" t="s">
        <v>311</v>
      </c>
      <c r="B34" s="127" t="s">
        <v>291</v>
      </c>
      <c r="C34" s="116">
        <v>500000</v>
      </c>
      <c r="D34" s="116">
        <v>500000</v>
      </c>
      <c r="E34" s="67">
        <v>133800</v>
      </c>
    </row>
    <row r="35" spans="1:5" s="35" customFormat="1" ht="12" customHeight="1" x14ac:dyDescent="0.2">
      <c r="A35" s="135" t="s">
        <v>312</v>
      </c>
      <c r="B35" s="127" t="s">
        <v>92</v>
      </c>
      <c r="C35" s="116"/>
      <c r="D35" s="116">
        <v>0</v>
      </c>
      <c r="E35" s="67"/>
    </row>
    <row r="36" spans="1:5" s="35" customFormat="1" ht="12" customHeight="1" x14ac:dyDescent="0.2">
      <c r="A36" s="135" t="s">
        <v>313</v>
      </c>
      <c r="B36" s="127" t="s">
        <v>290</v>
      </c>
      <c r="C36" s="116"/>
      <c r="D36" s="116">
        <v>0</v>
      </c>
      <c r="E36" s="67"/>
    </row>
    <row r="37" spans="1:5" s="35" customFormat="1" ht="12" customHeight="1" thickBot="1" x14ac:dyDescent="0.25">
      <c r="A37" s="136" t="s">
        <v>317</v>
      </c>
      <c r="B37" s="127" t="s">
        <v>647</v>
      </c>
      <c r="C37" s="118">
        <v>2500000</v>
      </c>
      <c r="D37" s="118">
        <v>2500000</v>
      </c>
      <c r="E37" s="69">
        <v>669630</v>
      </c>
    </row>
    <row r="38" spans="1:5" s="35" customFormat="1" ht="12" customHeight="1" thickBot="1" x14ac:dyDescent="0.25">
      <c r="A38" s="18">
        <v>31</v>
      </c>
      <c r="B38" s="13" t="s">
        <v>366</v>
      </c>
      <c r="C38" s="115">
        <f>SUM(C39:C49)</f>
        <v>38092000</v>
      </c>
      <c r="D38" s="115">
        <v>39033580</v>
      </c>
      <c r="E38" s="66">
        <f>SUM(E39:E49)</f>
        <v>19035460</v>
      </c>
    </row>
    <row r="39" spans="1:5" s="35" customFormat="1" ht="12" customHeight="1" x14ac:dyDescent="0.2">
      <c r="A39" s="134" t="s">
        <v>318</v>
      </c>
      <c r="B39" s="127" t="s">
        <v>93</v>
      </c>
      <c r="C39" s="117"/>
      <c r="D39" s="219">
        <v>0</v>
      </c>
      <c r="E39" s="68"/>
    </row>
    <row r="40" spans="1:5" s="35" customFormat="1" ht="12" customHeight="1" x14ac:dyDescent="0.2">
      <c r="A40" s="135" t="s">
        <v>319</v>
      </c>
      <c r="B40" s="128" t="s">
        <v>94</v>
      </c>
      <c r="C40" s="116">
        <v>4600000</v>
      </c>
      <c r="D40" s="220">
        <v>4600000</v>
      </c>
      <c r="E40" s="67">
        <v>2738255</v>
      </c>
    </row>
    <row r="41" spans="1:5" s="35" customFormat="1" ht="12" customHeight="1" x14ac:dyDescent="0.2">
      <c r="A41" s="135" t="s">
        <v>320</v>
      </c>
      <c r="B41" s="128" t="s">
        <v>95</v>
      </c>
      <c r="C41" s="116">
        <v>2000000</v>
      </c>
      <c r="D41" s="220">
        <v>2000000</v>
      </c>
      <c r="E41" s="67">
        <v>2417480</v>
      </c>
    </row>
    <row r="42" spans="1:5" s="35" customFormat="1" ht="12" customHeight="1" x14ac:dyDescent="0.2">
      <c r="A42" s="135" t="s">
        <v>321</v>
      </c>
      <c r="B42" s="128" t="s">
        <v>96</v>
      </c>
      <c r="C42" s="116">
        <v>22740000</v>
      </c>
      <c r="D42" s="220">
        <v>22740000</v>
      </c>
      <c r="E42" s="67">
        <v>5584959</v>
      </c>
    </row>
    <row r="43" spans="1:5" s="35" customFormat="1" ht="12" customHeight="1" x14ac:dyDescent="0.2">
      <c r="A43" s="135" t="s">
        <v>322</v>
      </c>
      <c r="B43" s="128" t="s">
        <v>97</v>
      </c>
      <c r="C43" s="116"/>
      <c r="D43" s="220">
        <v>0</v>
      </c>
      <c r="E43" s="67"/>
    </row>
    <row r="44" spans="1:5" s="35" customFormat="1" ht="12" customHeight="1" x14ac:dyDescent="0.2">
      <c r="A44" s="135" t="s">
        <v>323</v>
      </c>
      <c r="B44" s="128" t="s">
        <v>98</v>
      </c>
      <c r="C44" s="116">
        <v>3742000</v>
      </c>
      <c r="D44" s="220">
        <v>4683580</v>
      </c>
      <c r="E44" s="67">
        <v>2525032</v>
      </c>
    </row>
    <row r="45" spans="1:5" s="35" customFormat="1" ht="12" customHeight="1" x14ac:dyDescent="0.2">
      <c r="A45" s="135" t="s">
        <v>324</v>
      </c>
      <c r="B45" s="128" t="s">
        <v>99</v>
      </c>
      <c r="C45" s="116">
        <v>5010000</v>
      </c>
      <c r="D45" s="220">
        <v>5010000</v>
      </c>
      <c r="E45" s="67">
        <v>5210416</v>
      </c>
    </row>
    <row r="46" spans="1:5" s="35" customFormat="1" ht="12" customHeight="1" x14ac:dyDescent="0.2">
      <c r="A46" s="135" t="s">
        <v>325</v>
      </c>
      <c r="B46" s="128" t="s">
        <v>203</v>
      </c>
      <c r="C46" s="116"/>
      <c r="D46" s="220">
        <v>0</v>
      </c>
      <c r="E46" s="67">
        <v>82</v>
      </c>
    </row>
    <row r="47" spans="1:5" s="35" customFormat="1" ht="12" customHeight="1" x14ac:dyDescent="0.2">
      <c r="A47" s="135" t="s">
        <v>326</v>
      </c>
      <c r="B47" s="128" t="s">
        <v>101</v>
      </c>
      <c r="C47" s="119"/>
      <c r="D47" s="372">
        <v>0</v>
      </c>
      <c r="E47" s="70"/>
    </row>
    <row r="48" spans="1:5" s="35" customFormat="1" ht="12" customHeight="1" x14ac:dyDescent="0.2">
      <c r="A48" s="136" t="s">
        <v>327</v>
      </c>
      <c r="B48" s="129" t="s">
        <v>171</v>
      </c>
      <c r="C48" s="120"/>
      <c r="D48" s="373">
        <v>0</v>
      </c>
      <c r="E48" s="71">
        <v>547706</v>
      </c>
    </row>
    <row r="49" spans="1:5" s="35" customFormat="1" ht="12" customHeight="1" thickBot="1" x14ac:dyDescent="0.25">
      <c r="A49" s="136" t="s">
        <v>328</v>
      </c>
      <c r="B49" s="129" t="s">
        <v>102</v>
      </c>
      <c r="C49" s="120"/>
      <c r="D49" s="373">
        <v>0</v>
      </c>
      <c r="E49" s="71">
        <v>11530</v>
      </c>
    </row>
    <row r="50" spans="1:5" s="35" customFormat="1" ht="12" customHeight="1" thickBot="1" x14ac:dyDescent="0.25">
      <c r="A50" s="18">
        <v>43</v>
      </c>
      <c r="B50" s="13" t="s">
        <v>367</v>
      </c>
      <c r="C50" s="115">
        <f>SUM(C51:C55)</f>
        <v>14330264</v>
      </c>
      <c r="D50" s="115">
        <v>5487333</v>
      </c>
      <c r="E50" s="66">
        <f>SUM(E51:E55)</f>
        <v>0</v>
      </c>
    </row>
    <row r="51" spans="1:5" s="35" customFormat="1" ht="12" customHeight="1" x14ac:dyDescent="0.2">
      <c r="A51" s="134" t="s">
        <v>329</v>
      </c>
      <c r="B51" s="127" t="s">
        <v>103</v>
      </c>
      <c r="C51" s="152"/>
      <c r="D51" s="374">
        <v>0</v>
      </c>
      <c r="E51" s="72"/>
    </row>
    <row r="52" spans="1:5" s="35" customFormat="1" ht="12" customHeight="1" x14ac:dyDescent="0.2">
      <c r="A52" s="135" t="s">
        <v>330</v>
      </c>
      <c r="B52" s="128" t="s">
        <v>104</v>
      </c>
      <c r="C52" s="119">
        <v>14330264</v>
      </c>
      <c r="D52" s="372">
        <v>5487333</v>
      </c>
      <c r="E52" s="70"/>
    </row>
    <row r="53" spans="1:5" s="35" customFormat="1" ht="12" customHeight="1" x14ac:dyDescent="0.2">
      <c r="A53" s="135" t="s">
        <v>331</v>
      </c>
      <c r="B53" s="128" t="s">
        <v>105</v>
      </c>
      <c r="C53" s="119"/>
      <c r="D53" s="372">
        <v>0</v>
      </c>
      <c r="E53" s="70"/>
    </row>
    <row r="54" spans="1:5" s="35" customFormat="1" ht="12" customHeight="1" x14ac:dyDescent="0.2">
      <c r="A54" s="135" t="s">
        <v>332</v>
      </c>
      <c r="B54" s="128" t="s">
        <v>106</v>
      </c>
      <c r="C54" s="119"/>
      <c r="D54" s="372">
        <v>0</v>
      </c>
      <c r="E54" s="70"/>
    </row>
    <row r="55" spans="1:5" s="35" customFormat="1" ht="12" customHeight="1" thickBot="1" x14ac:dyDescent="0.25">
      <c r="A55" s="136" t="s">
        <v>333</v>
      </c>
      <c r="B55" s="129" t="s">
        <v>107</v>
      </c>
      <c r="C55" s="120"/>
      <c r="D55" s="373">
        <v>0</v>
      </c>
      <c r="E55" s="71"/>
    </row>
    <row r="56" spans="1:5" s="35" customFormat="1" ht="12" customHeight="1" thickBot="1" x14ac:dyDescent="0.25">
      <c r="A56" s="18">
        <v>49</v>
      </c>
      <c r="B56" s="13" t="s">
        <v>379</v>
      </c>
      <c r="C56" s="115">
        <f>SUM(C57:C59)</f>
        <v>0</v>
      </c>
      <c r="D56" s="115">
        <v>0</v>
      </c>
      <c r="E56" s="66">
        <f>SUM(E57:E59)</f>
        <v>172480</v>
      </c>
    </row>
    <row r="57" spans="1:5" s="35" customFormat="1" ht="12" customHeight="1" x14ac:dyDescent="0.2">
      <c r="A57" s="134" t="s">
        <v>334</v>
      </c>
      <c r="B57" s="127" t="s">
        <v>108</v>
      </c>
      <c r="C57" s="117"/>
      <c r="D57" s="219">
        <v>0</v>
      </c>
      <c r="E57" s="68"/>
    </row>
    <row r="58" spans="1:5" s="35" customFormat="1" ht="12" customHeight="1" x14ac:dyDescent="0.2">
      <c r="A58" s="135" t="s">
        <v>335</v>
      </c>
      <c r="B58" s="128" t="s">
        <v>167</v>
      </c>
      <c r="C58" s="116"/>
      <c r="D58" s="220">
        <v>0</v>
      </c>
      <c r="E58" s="67"/>
    </row>
    <row r="59" spans="1:5" s="35" customFormat="1" ht="12" customHeight="1" x14ac:dyDescent="0.2">
      <c r="A59" s="135" t="s">
        <v>336</v>
      </c>
      <c r="B59" s="128" t="s">
        <v>109</v>
      </c>
      <c r="C59" s="116"/>
      <c r="D59" s="220">
        <v>0</v>
      </c>
      <c r="E59" s="67">
        <v>172480</v>
      </c>
    </row>
    <row r="60" spans="1:5" s="35" customFormat="1" ht="12" customHeight="1" thickBot="1" x14ac:dyDescent="0.25">
      <c r="A60" s="136" t="s">
        <v>337</v>
      </c>
      <c r="B60" s="129" t="s">
        <v>413</v>
      </c>
      <c r="C60" s="118"/>
      <c r="D60" s="221">
        <v>0</v>
      </c>
      <c r="E60" s="69"/>
    </row>
    <row r="61" spans="1:5" s="35" customFormat="1" ht="12" customHeight="1" thickBot="1" x14ac:dyDescent="0.25">
      <c r="A61" s="18">
        <v>54</v>
      </c>
      <c r="B61" s="73" t="s">
        <v>380</v>
      </c>
      <c r="C61" s="115">
        <f>SUM(C62:C64)</f>
        <v>0</v>
      </c>
      <c r="D61" s="115">
        <v>0</v>
      </c>
      <c r="E61" s="66">
        <f>SUM(E62:E64)</f>
        <v>0</v>
      </c>
    </row>
    <row r="62" spans="1:5" s="35" customFormat="1" ht="12" customHeight="1" x14ac:dyDescent="0.2">
      <c r="A62" s="134" t="s">
        <v>338</v>
      </c>
      <c r="B62" s="127" t="s">
        <v>110</v>
      </c>
      <c r="C62" s="119"/>
      <c r="D62" s="372">
        <v>0</v>
      </c>
      <c r="E62" s="70"/>
    </row>
    <row r="63" spans="1:5" s="35" customFormat="1" ht="12" customHeight="1" x14ac:dyDescent="0.2">
      <c r="A63" s="135" t="s">
        <v>339</v>
      </c>
      <c r="B63" s="128" t="s">
        <v>168</v>
      </c>
      <c r="C63" s="119"/>
      <c r="D63" s="372">
        <v>0</v>
      </c>
      <c r="E63" s="70"/>
    </row>
    <row r="64" spans="1:5" s="35" customFormat="1" ht="12" customHeight="1" x14ac:dyDescent="0.2">
      <c r="A64" s="135" t="s">
        <v>340</v>
      </c>
      <c r="B64" s="128" t="s">
        <v>111</v>
      </c>
      <c r="C64" s="119"/>
      <c r="D64" s="372">
        <v>0</v>
      </c>
      <c r="E64" s="70"/>
    </row>
    <row r="65" spans="1:5" s="35" customFormat="1" ht="12" customHeight="1" thickBot="1" x14ac:dyDescent="0.25">
      <c r="A65" s="136" t="s">
        <v>341</v>
      </c>
      <c r="B65" s="129" t="s">
        <v>414</v>
      </c>
      <c r="C65" s="119"/>
      <c r="D65" s="372">
        <v>0</v>
      </c>
      <c r="E65" s="70"/>
    </row>
    <row r="66" spans="1:5" s="35" customFormat="1" ht="12" customHeight="1" thickBot="1" x14ac:dyDescent="0.25">
      <c r="A66" s="18">
        <v>59</v>
      </c>
      <c r="B66" s="13" t="s">
        <v>381</v>
      </c>
      <c r="C66" s="121">
        <f>+C8+C23+C30+C38+C50+C56+C61</f>
        <v>1460868660</v>
      </c>
      <c r="D66" s="121">
        <v>1482008409</v>
      </c>
      <c r="E66" s="146">
        <f>E61+E56+E50+E38+E30+E8+E23</f>
        <v>785293367</v>
      </c>
    </row>
    <row r="67" spans="1:5" s="35" customFormat="1" ht="12" customHeight="1" thickBot="1" x14ac:dyDescent="0.2">
      <c r="A67" s="137">
        <v>60</v>
      </c>
      <c r="B67" s="73" t="s">
        <v>382</v>
      </c>
      <c r="C67" s="115">
        <f>SUM(C68:C70)</f>
        <v>0</v>
      </c>
      <c r="D67" s="115">
        <v>0</v>
      </c>
      <c r="E67" s="66">
        <f>SUM(E68:E70)</f>
        <v>0</v>
      </c>
    </row>
    <row r="68" spans="1:5" s="35" customFormat="1" ht="12" customHeight="1" x14ac:dyDescent="0.2">
      <c r="A68" s="134" t="s">
        <v>342</v>
      </c>
      <c r="B68" s="127" t="s">
        <v>112</v>
      </c>
      <c r="C68" s="119"/>
      <c r="D68" s="372">
        <v>0</v>
      </c>
      <c r="E68" s="70"/>
    </row>
    <row r="69" spans="1:5" s="35" customFormat="1" ht="12" customHeight="1" x14ac:dyDescent="0.2">
      <c r="A69" s="135" t="s">
        <v>343</v>
      </c>
      <c r="B69" s="128" t="s">
        <v>113</v>
      </c>
      <c r="C69" s="119"/>
      <c r="D69" s="372">
        <v>0</v>
      </c>
      <c r="E69" s="70"/>
    </row>
    <row r="70" spans="1:5" s="35" customFormat="1" ht="12" customHeight="1" thickBot="1" x14ac:dyDescent="0.25">
      <c r="A70" s="144" t="s">
        <v>344</v>
      </c>
      <c r="B70" s="243" t="s">
        <v>409</v>
      </c>
      <c r="C70" s="119"/>
      <c r="D70" s="375">
        <v>0</v>
      </c>
      <c r="E70" s="283"/>
    </row>
    <row r="71" spans="1:5" s="35" customFormat="1" ht="12" customHeight="1" thickBot="1" x14ac:dyDescent="0.2">
      <c r="A71" s="137">
        <v>64</v>
      </c>
      <c r="B71" s="73" t="s">
        <v>383</v>
      </c>
      <c r="C71" s="115">
        <f>SUM(C72:C75)</f>
        <v>0</v>
      </c>
      <c r="D71" s="115">
        <v>0</v>
      </c>
      <c r="E71" s="66">
        <f>SUM(E72:E75)</f>
        <v>0</v>
      </c>
    </row>
    <row r="72" spans="1:5" s="35" customFormat="1" ht="12" customHeight="1" x14ac:dyDescent="0.2">
      <c r="A72" s="134" t="s">
        <v>345</v>
      </c>
      <c r="B72" s="127" t="s">
        <v>114</v>
      </c>
      <c r="C72" s="119"/>
      <c r="D72" s="119">
        <v>0</v>
      </c>
      <c r="E72" s="70"/>
    </row>
    <row r="73" spans="1:5" s="35" customFormat="1" ht="12" customHeight="1" x14ac:dyDescent="0.2">
      <c r="A73" s="135" t="s">
        <v>346</v>
      </c>
      <c r="B73" s="127" t="s">
        <v>208</v>
      </c>
      <c r="C73" s="119"/>
      <c r="D73" s="119">
        <v>0</v>
      </c>
      <c r="E73" s="70"/>
    </row>
    <row r="74" spans="1:5" s="35" customFormat="1" ht="12" customHeight="1" x14ac:dyDescent="0.2">
      <c r="A74" s="135" t="s">
        <v>347</v>
      </c>
      <c r="B74" s="127" t="s">
        <v>115</v>
      </c>
      <c r="C74" s="120"/>
      <c r="D74" s="119">
        <v>0</v>
      </c>
      <c r="E74" s="70"/>
    </row>
    <row r="75" spans="1:5" s="35" customFormat="1" ht="12" customHeight="1" thickBot="1" x14ac:dyDescent="0.25">
      <c r="A75" s="136" t="s">
        <v>348</v>
      </c>
      <c r="B75" s="174" t="s">
        <v>209</v>
      </c>
      <c r="C75" s="382"/>
      <c r="D75" s="119">
        <v>0</v>
      </c>
      <c r="E75" s="70"/>
    </row>
    <row r="76" spans="1:5" s="35" customFormat="1" ht="12" customHeight="1" thickBot="1" x14ac:dyDescent="0.2">
      <c r="A76" s="137">
        <v>69</v>
      </c>
      <c r="B76" s="73" t="s">
        <v>384</v>
      </c>
      <c r="C76" s="115">
        <f>SUM(C77:C78)</f>
        <v>761423589</v>
      </c>
      <c r="D76" s="115">
        <v>761423589</v>
      </c>
      <c r="E76" s="66">
        <f>SUM(E77:E78)</f>
        <v>761423589</v>
      </c>
    </row>
    <row r="77" spans="1:5" s="35" customFormat="1" ht="12" customHeight="1" x14ac:dyDescent="0.2">
      <c r="A77" s="134" t="s">
        <v>349</v>
      </c>
      <c r="B77" s="127" t="s">
        <v>116</v>
      </c>
      <c r="C77" s="383">
        <v>761423589</v>
      </c>
      <c r="D77" s="119">
        <v>761423589</v>
      </c>
      <c r="E77" s="70">
        <v>761423589</v>
      </c>
    </row>
    <row r="78" spans="1:5" s="35" customFormat="1" ht="12" customHeight="1" thickBot="1" x14ac:dyDescent="0.25">
      <c r="A78" s="136" t="s">
        <v>350</v>
      </c>
      <c r="B78" s="129" t="s">
        <v>117</v>
      </c>
      <c r="C78" s="382"/>
      <c r="D78" s="119">
        <v>0</v>
      </c>
      <c r="E78" s="70"/>
    </row>
    <row r="79" spans="1:5" s="34" customFormat="1" ht="12" customHeight="1" thickBot="1" x14ac:dyDescent="0.2">
      <c r="A79" s="137">
        <v>72</v>
      </c>
      <c r="B79" s="73" t="s">
        <v>385</v>
      </c>
      <c r="C79" s="115">
        <f>SUM(C80:C82)</f>
        <v>0</v>
      </c>
      <c r="D79" s="115">
        <v>0</v>
      </c>
      <c r="E79" s="66">
        <f>SUM(E80:E82)</f>
        <v>0</v>
      </c>
    </row>
    <row r="80" spans="1:5" s="35" customFormat="1" ht="12" customHeight="1" x14ac:dyDescent="0.2">
      <c r="A80" s="134" t="s">
        <v>351</v>
      </c>
      <c r="B80" s="127" t="s">
        <v>118</v>
      </c>
      <c r="C80" s="119"/>
      <c r="D80" s="119">
        <v>0</v>
      </c>
      <c r="E80" s="70"/>
    </row>
    <row r="81" spans="1:5" s="35" customFormat="1" ht="12" customHeight="1" x14ac:dyDescent="0.2">
      <c r="A81" s="135" t="s">
        <v>352</v>
      </c>
      <c r="B81" s="128" t="s">
        <v>119</v>
      </c>
      <c r="C81" s="119"/>
      <c r="D81" s="119">
        <v>0</v>
      </c>
      <c r="E81" s="70"/>
    </row>
    <row r="82" spans="1:5" s="35" customFormat="1" ht="12" customHeight="1" thickBot="1" x14ac:dyDescent="0.25">
      <c r="A82" s="136" t="s">
        <v>353</v>
      </c>
      <c r="B82" s="129" t="s">
        <v>210</v>
      </c>
      <c r="C82" s="382"/>
      <c r="D82" s="119">
        <v>0</v>
      </c>
      <c r="E82" s="70"/>
    </row>
    <row r="83" spans="1:5" s="35" customFormat="1" ht="12" customHeight="1" thickBot="1" x14ac:dyDescent="0.2">
      <c r="A83" s="137" t="s">
        <v>354</v>
      </c>
      <c r="B83" s="73" t="s">
        <v>368</v>
      </c>
      <c r="C83" s="115">
        <f>SUM(C84:C87)</f>
        <v>0</v>
      </c>
      <c r="D83" s="115">
        <v>0</v>
      </c>
      <c r="E83" s="66">
        <f>SUM(E84:E87)</f>
        <v>0</v>
      </c>
    </row>
    <row r="84" spans="1:5" s="35" customFormat="1" ht="12" customHeight="1" x14ac:dyDescent="0.2">
      <c r="A84" s="138" t="s">
        <v>355</v>
      </c>
      <c r="B84" s="127" t="s">
        <v>120</v>
      </c>
      <c r="C84" s="119"/>
      <c r="D84" s="119">
        <v>0</v>
      </c>
      <c r="E84" s="70"/>
    </row>
    <row r="85" spans="1:5" s="35" customFormat="1" ht="12" customHeight="1" x14ac:dyDescent="0.2">
      <c r="A85" s="139" t="s">
        <v>356</v>
      </c>
      <c r="B85" s="128" t="s">
        <v>121</v>
      </c>
      <c r="C85" s="119"/>
      <c r="D85" s="119">
        <v>0</v>
      </c>
      <c r="E85" s="70"/>
    </row>
    <row r="86" spans="1:5" s="35" customFormat="1" ht="12" customHeight="1" x14ac:dyDescent="0.2">
      <c r="A86" s="139" t="s">
        <v>357</v>
      </c>
      <c r="B86" s="128" t="s">
        <v>122</v>
      </c>
      <c r="C86" s="119"/>
      <c r="D86" s="119">
        <v>0</v>
      </c>
      <c r="E86" s="70"/>
    </row>
    <row r="87" spans="1:5" s="34" customFormat="1" ht="12" customHeight="1" thickBot="1" x14ac:dyDescent="0.25">
      <c r="A87" s="140" t="s">
        <v>358</v>
      </c>
      <c r="B87" s="129" t="s">
        <v>123</v>
      </c>
      <c r="C87" s="119"/>
      <c r="D87" s="119">
        <v>0</v>
      </c>
      <c r="E87" s="70"/>
    </row>
    <row r="88" spans="1:5" s="34" customFormat="1" ht="12" customHeight="1" thickBot="1" x14ac:dyDescent="0.2">
      <c r="A88" s="137" t="s">
        <v>359</v>
      </c>
      <c r="B88" s="73" t="s">
        <v>189</v>
      </c>
      <c r="C88" s="153"/>
      <c r="D88" s="153">
        <v>0</v>
      </c>
      <c r="E88" s="154"/>
    </row>
    <row r="89" spans="1:5" s="34" customFormat="1" ht="12" customHeight="1" thickBot="1" x14ac:dyDescent="0.2">
      <c r="A89" s="137" t="s">
        <v>360</v>
      </c>
      <c r="B89" s="73" t="s">
        <v>124</v>
      </c>
      <c r="C89" s="153"/>
      <c r="D89" s="153">
        <v>0</v>
      </c>
      <c r="E89" s="154"/>
    </row>
    <row r="90" spans="1:5" s="34" customFormat="1" ht="12" customHeight="1" thickBot="1" x14ac:dyDescent="0.2">
      <c r="A90" s="137" t="s">
        <v>361</v>
      </c>
      <c r="B90" s="130" t="s">
        <v>386</v>
      </c>
      <c r="C90" s="121">
        <f>C89+C88+C83+C79+C76+C71+C67</f>
        <v>761423589</v>
      </c>
      <c r="D90" s="121">
        <v>761423589</v>
      </c>
      <c r="E90" s="146">
        <f>E89+E88+E83+E79+E76+E71+E67</f>
        <v>761423589</v>
      </c>
    </row>
    <row r="91" spans="1:5" s="34" customFormat="1" ht="12" customHeight="1" thickBot="1" x14ac:dyDescent="0.2">
      <c r="A91" s="141" t="s">
        <v>362</v>
      </c>
      <c r="B91" s="131" t="s">
        <v>369</v>
      </c>
      <c r="C91" s="121">
        <f>C90+C66</f>
        <v>2222292249</v>
      </c>
      <c r="D91" s="121">
        <v>2243431998</v>
      </c>
      <c r="E91" s="146">
        <f>E90+E66</f>
        <v>1546716956</v>
      </c>
    </row>
    <row r="92" spans="1:5" s="35" customFormat="1" ht="15.2" customHeight="1" thickBot="1" x14ac:dyDescent="0.25">
      <c r="A92" s="59"/>
      <c r="B92" s="60"/>
      <c r="C92" s="100"/>
    </row>
    <row r="93" spans="1:5" s="29" customFormat="1" ht="16.5" customHeight="1" thickBot="1" x14ac:dyDescent="0.25">
      <c r="A93" s="553" t="s">
        <v>34</v>
      </c>
      <c r="B93" s="554"/>
      <c r="C93" s="554"/>
      <c r="D93" s="554"/>
      <c r="E93" s="555"/>
    </row>
    <row r="94" spans="1:5" s="36" customFormat="1" ht="12" customHeight="1" thickBot="1" x14ac:dyDescent="0.25">
      <c r="A94" s="122">
        <v>1</v>
      </c>
      <c r="B94" s="17" t="s">
        <v>496</v>
      </c>
      <c r="C94" s="114">
        <f>C95+C96+C97+C98+C99</f>
        <v>1300105613</v>
      </c>
      <c r="D94" s="114">
        <v>1315820508</v>
      </c>
      <c r="E94" s="161">
        <f>SUM(E95:E99)</f>
        <v>643467122</v>
      </c>
    </row>
    <row r="95" spans="1:5" ht="12" customHeight="1" x14ac:dyDescent="0.2">
      <c r="A95" s="142" t="s">
        <v>293</v>
      </c>
      <c r="B95" s="8" t="s">
        <v>30</v>
      </c>
      <c r="C95" s="168">
        <v>32700000</v>
      </c>
      <c r="D95" s="168">
        <v>42839875</v>
      </c>
      <c r="E95" s="162">
        <v>17705166</v>
      </c>
    </row>
    <row r="96" spans="1:5" ht="12" customHeight="1" x14ac:dyDescent="0.2">
      <c r="A96" s="135" t="s">
        <v>294</v>
      </c>
      <c r="B96" s="6" t="s">
        <v>56</v>
      </c>
      <c r="C96" s="116">
        <v>4850000</v>
      </c>
      <c r="D96" s="116">
        <v>6073960</v>
      </c>
      <c r="E96" s="67">
        <v>2375900</v>
      </c>
    </row>
    <row r="97" spans="1:5" ht="12" customHeight="1" x14ac:dyDescent="0.2">
      <c r="A97" s="135" t="s">
        <v>295</v>
      </c>
      <c r="B97" s="6" t="s">
        <v>46</v>
      </c>
      <c r="C97" s="118">
        <v>173710695</v>
      </c>
      <c r="D97" s="116">
        <v>179759205</v>
      </c>
      <c r="E97" s="69">
        <v>85030000</v>
      </c>
    </row>
    <row r="98" spans="1:5" ht="12" customHeight="1" x14ac:dyDescent="0.2">
      <c r="A98" s="135" t="s">
        <v>296</v>
      </c>
      <c r="B98" s="9" t="s">
        <v>57</v>
      </c>
      <c r="C98" s="118">
        <v>15710000</v>
      </c>
      <c r="D98" s="221">
        <v>15710000</v>
      </c>
      <c r="E98" s="69">
        <v>6921288</v>
      </c>
    </row>
    <row r="99" spans="1:5" ht="12" customHeight="1" x14ac:dyDescent="0.2">
      <c r="A99" s="135" t="s">
        <v>297</v>
      </c>
      <c r="B99" s="12" t="s">
        <v>58</v>
      </c>
      <c r="C99" s="118">
        <f>SUM(C100:C112)</f>
        <v>1073134918</v>
      </c>
      <c r="D99" s="221">
        <v>1071437468</v>
      </c>
      <c r="E99" s="69">
        <f>E100+E101+E106+E111</f>
        <v>531434768</v>
      </c>
    </row>
    <row r="100" spans="1:5" ht="12" customHeight="1" x14ac:dyDescent="0.2">
      <c r="A100" s="135" t="s">
        <v>298</v>
      </c>
      <c r="B100" s="6" t="s">
        <v>415</v>
      </c>
      <c r="C100" s="384">
        <v>2870687</v>
      </c>
      <c r="D100" s="221">
        <v>3141331</v>
      </c>
      <c r="E100" s="69">
        <v>3141331</v>
      </c>
    </row>
    <row r="101" spans="1:5" ht="12" customHeight="1" x14ac:dyDescent="0.2">
      <c r="A101" s="135" t="s">
        <v>314</v>
      </c>
      <c r="B101" s="44" t="s">
        <v>172</v>
      </c>
      <c r="C101" s="118">
        <v>40628908</v>
      </c>
      <c r="D101" s="221">
        <v>40628908</v>
      </c>
      <c r="E101" s="69">
        <v>21127034</v>
      </c>
    </row>
    <row r="102" spans="1:5" ht="12" customHeight="1" x14ac:dyDescent="0.2">
      <c r="A102" s="135" t="s">
        <v>292</v>
      </c>
      <c r="B102" s="44" t="s">
        <v>387</v>
      </c>
      <c r="C102" s="118"/>
      <c r="D102" s="221">
        <v>0</v>
      </c>
      <c r="E102" s="69"/>
    </row>
    <row r="103" spans="1:5" ht="12" customHeight="1" x14ac:dyDescent="0.2">
      <c r="A103" s="135" t="s">
        <v>234</v>
      </c>
      <c r="B103" s="44" t="s">
        <v>125</v>
      </c>
      <c r="C103" s="118"/>
      <c r="D103" s="221">
        <v>0</v>
      </c>
      <c r="E103" s="69"/>
    </row>
    <row r="104" spans="1:5" ht="12" customHeight="1" x14ac:dyDescent="0.2">
      <c r="A104" s="135" t="s">
        <v>235</v>
      </c>
      <c r="B104" s="45" t="s">
        <v>126</v>
      </c>
      <c r="C104" s="118"/>
      <c r="D104" s="221">
        <v>0</v>
      </c>
      <c r="E104" s="69"/>
    </row>
    <row r="105" spans="1:5" ht="12" customHeight="1" x14ac:dyDescent="0.2">
      <c r="A105" s="135" t="s">
        <v>236</v>
      </c>
      <c r="B105" s="45" t="s">
        <v>127</v>
      </c>
      <c r="C105" s="118"/>
      <c r="D105" s="221">
        <v>0</v>
      </c>
      <c r="E105" s="69"/>
    </row>
    <row r="106" spans="1:5" ht="12" customHeight="1" x14ac:dyDescent="0.2">
      <c r="A106" s="135" t="s">
        <v>299</v>
      </c>
      <c r="B106" s="44" t="s">
        <v>128</v>
      </c>
      <c r="C106" s="118">
        <v>690011674</v>
      </c>
      <c r="D106" s="221">
        <v>684969004</v>
      </c>
      <c r="E106" s="69">
        <v>332677215</v>
      </c>
    </row>
    <row r="107" spans="1:5" ht="12" customHeight="1" x14ac:dyDescent="0.2">
      <c r="A107" s="135" t="s">
        <v>300</v>
      </c>
      <c r="B107" s="44" t="s">
        <v>129</v>
      </c>
      <c r="C107" s="118"/>
      <c r="D107" s="221">
        <v>0</v>
      </c>
      <c r="E107" s="69"/>
    </row>
    <row r="108" spans="1:5" ht="12" customHeight="1" x14ac:dyDescent="0.2">
      <c r="A108" s="135" t="s">
        <v>315</v>
      </c>
      <c r="B108" s="45" t="s">
        <v>130</v>
      </c>
      <c r="C108" s="118"/>
      <c r="D108" s="221">
        <v>0</v>
      </c>
      <c r="E108" s="69"/>
    </row>
    <row r="109" spans="1:5" ht="12" customHeight="1" x14ac:dyDescent="0.2">
      <c r="A109" s="143" t="s">
        <v>301</v>
      </c>
      <c r="B109" s="46" t="s">
        <v>131</v>
      </c>
      <c r="C109" s="118"/>
      <c r="D109" s="221">
        <v>0</v>
      </c>
      <c r="E109" s="69"/>
    </row>
    <row r="110" spans="1:5" ht="12" customHeight="1" x14ac:dyDescent="0.2">
      <c r="A110" s="135" t="s">
        <v>302</v>
      </c>
      <c r="B110" s="46" t="s">
        <v>132</v>
      </c>
      <c r="C110" s="118"/>
      <c r="D110" s="221">
        <v>0</v>
      </c>
      <c r="E110" s="69"/>
    </row>
    <row r="111" spans="1:5" ht="12" customHeight="1" x14ac:dyDescent="0.2">
      <c r="A111" s="135" t="s">
        <v>303</v>
      </c>
      <c r="B111" s="45" t="s">
        <v>133</v>
      </c>
      <c r="C111" s="118">
        <v>280794688</v>
      </c>
      <c r="D111" s="220">
        <v>315169658</v>
      </c>
      <c r="E111" s="67">
        <v>174489188</v>
      </c>
    </row>
    <row r="112" spans="1:5" ht="12" customHeight="1" x14ac:dyDescent="0.2">
      <c r="A112" s="135" t="s">
        <v>304</v>
      </c>
      <c r="B112" s="9" t="s">
        <v>388</v>
      </c>
      <c r="C112" s="116">
        <f>SUM(C113:C114)</f>
        <v>58828961</v>
      </c>
      <c r="D112" s="220">
        <v>27528567</v>
      </c>
      <c r="E112" s="67"/>
    </row>
    <row r="113" spans="1:5" ht="12" customHeight="1" x14ac:dyDescent="0.2">
      <c r="A113" s="136" t="s">
        <v>305</v>
      </c>
      <c r="B113" s="6" t="s">
        <v>389</v>
      </c>
      <c r="C113" s="116">
        <v>10000000</v>
      </c>
      <c r="D113" s="221">
        <v>8120506</v>
      </c>
      <c r="E113" s="69"/>
    </row>
    <row r="114" spans="1:5" ht="12" customHeight="1" thickBot="1" x14ac:dyDescent="0.25">
      <c r="A114" s="144" t="s">
        <v>306</v>
      </c>
      <c r="B114" s="47" t="s">
        <v>410</v>
      </c>
      <c r="C114" s="169">
        <v>48828961</v>
      </c>
      <c r="D114" s="371">
        <v>19408061</v>
      </c>
      <c r="E114" s="163"/>
    </row>
    <row r="115" spans="1:5" ht="12" customHeight="1" thickBot="1" x14ac:dyDescent="0.25">
      <c r="A115" s="18" t="s">
        <v>316</v>
      </c>
      <c r="B115" s="16" t="s">
        <v>497</v>
      </c>
      <c r="C115" s="170">
        <f>+C116+C118+C120</f>
        <v>650868180</v>
      </c>
      <c r="D115" s="115">
        <v>656293034</v>
      </c>
      <c r="E115" s="66">
        <f>E116+E118+E120</f>
        <v>21375148</v>
      </c>
    </row>
    <row r="116" spans="1:5" ht="12" customHeight="1" x14ac:dyDescent="0.2">
      <c r="A116" s="134">
        <v>23</v>
      </c>
      <c r="B116" s="6" t="s">
        <v>67</v>
      </c>
      <c r="C116" s="117">
        <v>610202180</v>
      </c>
      <c r="D116" s="219">
        <v>613177401</v>
      </c>
      <c r="E116" s="68">
        <v>20420148</v>
      </c>
    </row>
    <row r="117" spans="1:5" ht="12" customHeight="1" x14ac:dyDescent="0.2">
      <c r="A117" s="134" t="s">
        <v>308</v>
      </c>
      <c r="B117" s="10" t="s">
        <v>408</v>
      </c>
      <c r="C117" s="117">
        <v>571000000</v>
      </c>
      <c r="D117" s="219">
        <v>571000000</v>
      </c>
      <c r="E117" s="68"/>
    </row>
    <row r="118" spans="1:5" ht="12" customHeight="1" x14ac:dyDescent="0.2">
      <c r="A118" s="134" t="s">
        <v>309</v>
      </c>
      <c r="B118" s="10" t="s">
        <v>59</v>
      </c>
      <c r="C118" s="116">
        <v>37616000</v>
      </c>
      <c r="D118" s="220">
        <v>40065633</v>
      </c>
      <c r="E118" s="67">
        <v>955000</v>
      </c>
    </row>
    <row r="119" spans="1:5" ht="12" customHeight="1" x14ac:dyDescent="0.2">
      <c r="A119" s="134" t="s">
        <v>310</v>
      </c>
      <c r="B119" s="10" t="s">
        <v>375</v>
      </c>
      <c r="C119" s="116"/>
      <c r="D119" s="220">
        <v>0</v>
      </c>
      <c r="E119" s="67"/>
    </row>
    <row r="120" spans="1:5" ht="12" customHeight="1" x14ac:dyDescent="0.2">
      <c r="A120" s="134" t="s">
        <v>311</v>
      </c>
      <c r="B120" s="75" t="s">
        <v>211</v>
      </c>
      <c r="C120" s="116">
        <f>SUM(C121:C128)</f>
        <v>3050000</v>
      </c>
      <c r="D120" s="220">
        <v>3050000</v>
      </c>
      <c r="E120" s="67"/>
    </row>
    <row r="121" spans="1:5" ht="12" customHeight="1" x14ac:dyDescent="0.2">
      <c r="A121" s="134" t="s">
        <v>312</v>
      </c>
      <c r="B121" s="74" t="s">
        <v>411</v>
      </c>
      <c r="C121" s="116"/>
      <c r="D121" s="220">
        <v>0</v>
      </c>
      <c r="E121" s="67"/>
    </row>
    <row r="122" spans="1:5" ht="12" customHeight="1" x14ac:dyDescent="0.2">
      <c r="A122" s="134" t="s">
        <v>313</v>
      </c>
      <c r="B122" s="124" t="s">
        <v>138</v>
      </c>
      <c r="C122" s="116"/>
      <c r="D122" s="220">
        <v>0</v>
      </c>
      <c r="E122" s="67"/>
    </row>
    <row r="123" spans="1:5" ht="12" customHeight="1" x14ac:dyDescent="0.2">
      <c r="A123" s="134" t="s">
        <v>317</v>
      </c>
      <c r="B123" s="45" t="s">
        <v>127</v>
      </c>
      <c r="C123" s="116"/>
      <c r="D123" s="220">
        <v>0</v>
      </c>
      <c r="E123" s="67"/>
    </row>
    <row r="124" spans="1:5" ht="12" customHeight="1" x14ac:dyDescent="0.2">
      <c r="A124" s="134" t="s">
        <v>370</v>
      </c>
      <c r="B124" s="45" t="s">
        <v>137</v>
      </c>
      <c r="C124" s="116"/>
      <c r="D124" s="220">
        <v>0</v>
      </c>
      <c r="E124" s="67"/>
    </row>
    <row r="125" spans="1:5" ht="12" customHeight="1" x14ac:dyDescent="0.2">
      <c r="A125" s="134" t="s">
        <v>318</v>
      </c>
      <c r="B125" s="45" t="s">
        <v>136</v>
      </c>
      <c r="C125" s="116"/>
      <c r="D125" s="220">
        <v>0</v>
      </c>
      <c r="E125" s="67"/>
    </row>
    <row r="126" spans="1:5" ht="12" customHeight="1" x14ac:dyDescent="0.2">
      <c r="A126" s="134" t="s">
        <v>319</v>
      </c>
      <c r="B126" s="45" t="s">
        <v>130</v>
      </c>
      <c r="C126" s="116"/>
      <c r="D126" s="220">
        <v>0</v>
      </c>
      <c r="E126" s="67"/>
    </row>
    <row r="127" spans="1:5" ht="12" customHeight="1" x14ac:dyDescent="0.2">
      <c r="A127" s="134" t="s">
        <v>320</v>
      </c>
      <c r="B127" s="45" t="s">
        <v>135</v>
      </c>
      <c r="C127" s="116"/>
      <c r="D127" s="220">
        <v>0</v>
      </c>
      <c r="E127" s="67"/>
    </row>
    <row r="128" spans="1:5" ht="12" customHeight="1" thickBot="1" x14ac:dyDescent="0.25">
      <c r="A128" s="143">
        <v>35</v>
      </c>
      <c r="B128" s="45" t="s">
        <v>134</v>
      </c>
      <c r="C128" s="118">
        <v>3050000</v>
      </c>
      <c r="D128" s="221">
        <v>3050000</v>
      </c>
      <c r="E128" s="69"/>
    </row>
    <row r="129" spans="1:11" ht="12" customHeight="1" thickBot="1" x14ac:dyDescent="0.25">
      <c r="A129" s="18">
        <v>36</v>
      </c>
      <c r="B129" s="39" t="s">
        <v>371</v>
      </c>
      <c r="C129" s="115">
        <f>+C94+C115</f>
        <v>1950973793</v>
      </c>
      <c r="D129" s="115">
        <v>1972113542</v>
      </c>
      <c r="E129" s="66">
        <f>E115+E94</f>
        <v>664842270</v>
      </c>
    </row>
    <row r="130" spans="1:11" ht="12" customHeight="1" thickBot="1" x14ac:dyDescent="0.25">
      <c r="A130" s="18">
        <v>37</v>
      </c>
      <c r="B130" s="39" t="s">
        <v>390</v>
      </c>
      <c r="C130" s="115">
        <f>+C131+C132+C133</f>
        <v>0</v>
      </c>
      <c r="D130" s="115">
        <v>0</v>
      </c>
      <c r="E130" s="66">
        <f>SUM(E131:E133)</f>
        <v>0</v>
      </c>
    </row>
    <row r="131" spans="1:11" s="36" customFormat="1" ht="12" customHeight="1" x14ac:dyDescent="0.2">
      <c r="A131" s="134">
        <v>38</v>
      </c>
      <c r="B131" s="7" t="s">
        <v>178</v>
      </c>
      <c r="C131" s="116"/>
      <c r="D131" s="220">
        <v>0</v>
      </c>
      <c r="E131" s="67"/>
    </row>
    <row r="132" spans="1:11" ht="12" customHeight="1" x14ac:dyDescent="0.2">
      <c r="A132" s="134" t="s">
        <v>325</v>
      </c>
      <c r="B132" s="7" t="s">
        <v>179</v>
      </c>
      <c r="C132" s="116"/>
      <c r="D132" s="220">
        <v>0</v>
      </c>
      <c r="E132" s="67"/>
    </row>
    <row r="133" spans="1:11" ht="12" customHeight="1" thickBot="1" x14ac:dyDescent="0.25">
      <c r="A133" s="143" t="s">
        <v>326</v>
      </c>
      <c r="B133" s="5" t="s">
        <v>180</v>
      </c>
      <c r="C133" s="116"/>
      <c r="D133" s="220">
        <v>0</v>
      </c>
      <c r="E133" s="67"/>
    </row>
    <row r="134" spans="1:11" ht="12" customHeight="1" thickBot="1" x14ac:dyDescent="0.25">
      <c r="A134" s="18">
        <v>41</v>
      </c>
      <c r="B134" s="39" t="s">
        <v>391</v>
      </c>
      <c r="C134" s="115">
        <f>SUM(C135:C140)</f>
        <v>0</v>
      </c>
      <c r="D134" s="115">
        <v>0</v>
      </c>
      <c r="E134" s="66">
        <f>SUM(E135:E140)</f>
        <v>0</v>
      </c>
    </row>
    <row r="135" spans="1:11" ht="12" customHeight="1" x14ac:dyDescent="0.2">
      <c r="A135" s="134">
        <v>42</v>
      </c>
      <c r="B135" s="7" t="s">
        <v>181</v>
      </c>
      <c r="C135" s="116"/>
      <c r="D135" s="220">
        <v>0</v>
      </c>
      <c r="E135" s="67"/>
    </row>
    <row r="136" spans="1:11" ht="12" customHeight="1" x14ac:dyDescent="0.2">
      <c r="A136" s="134">
        <v>43</v>
      </c>
      <c r="B136" s="7" t="s">
        <v>173</v>
      </c>
      <c r="C136" s="116"/>
      <c r="D136" s="220">
        <v>0</v>
      </c>
      <c r="E136" s="67"/>
    </row>
    <row r="137" spans="1:11" ht="12" customHeight="1" x14ac:dyDescent="0.2">
      <c r="A137" s="134" t="s">
        <v>329</v>
      </c>
      <c r="B137" s="7" t="s">
        <v>174</v>
      </c>
      <c r="C137" s="116"/>
      <c r="D137" s="220">
        <v>0</v>
      </c>
      <c r="E137" s="67"/>
    </row>
    <row r="138" spans="1:11" ht="12" customHeight="1" x14ac:dyDescent="0.2">
      <c r="A138" s="134" t="s">
        <v>330</v>
      </c>
      <c r="B138" s="7" t="s">
        <v>175</v>
      </c>
      <c r="C138" s="116"/>
      <c r="D138" s="220">
        <v>0</v>
      </c>
      <c r="E138" s="67"/>
    </row>
    <row r="139" spans="1:11" ht="12" customHeight="1" x14ac:dyDescent="0.2">
      <c r="A139" s="134" t="s">
        <v>331</v>
      </c>
      <c r="B139" s="7" t="s">
        <v>176</v>
      </c>
      <c r="C139" s="118"/>
      <c r="D139" s="220">
        <v>0</v>
      </c>
      <c r="E139" s="67"/>
    </row>
    <row r="140" spans="1:11" s="36" customFormat="1" ht="12" customHeight="1" thickBot="1" x14ac:dyDescent="0.25">
      <c r="A140" s="143">
        <v>47</v>
      </c>
      <c r="B140" s="5" t="s">
        <v>177</v>
      </c>
      <c r="C140" s="169"/>
      <c r="D140" s="220">
        <v>0</v>
      </c>
      <c r="E140" s="67"/>
    </row>
    <row r="141" spans="1:11" ht="12" customHeight="1" thickBot="1" x14ac:dyDescent="0.25">
      <c r="A141" s="18">
        <v>48</v>
      </c>
      <c r="B141" s="39" t="s">
        <v>392</v>
      </c>
      <c r="C141" s="121">
        <f>C142+C143+C144+C145+C146</f>
        <v>271318456</v>
      </c>
      <c r="D141" s="121">
        <v>271318456</v>
      </c>
      <c r="E141" s="146">
        <f>SUM(E142:E146)</f>
        <v>144261783</v>
      </c>
      <c r="K141" s="65"/>
    </row>
    <row r="142" spans="1:11" x14ac:dyDescent="0.2">
      <c r="A142" s="134">
        <v>49</v>
      </c>
      <c r="B142" s="7" t="s">
        <v>139</v>
      </c>
      <c r="C142" s="116"/>
      <c r="D142" s="220">
        <v>0</v>
      </c>
      <c r="E142" s="67"/>
    </row>
    <row r="143" spans="1:11" ht="12" customHeight="1" x14ac:dyDescent="0.2">
      <c r="A143" s="134" t="s">
        <v>334</v>
      </c>
      <c r="B143" s="7" t="s">
        <v>140</v>
      </c>
      <c r="C143" s="116">
        <v>28499482</v>
      </c>
      <c r="D143" s="220">
        <v>28499482</v>
      </c>
      <c r="E143" s="67">
        <v>28499882</v>
      </c>
    </row>
    <row r="144" spans="1:11" ht="12" customHeight="1" x14ac:dyDescent="0.2">
      <c r="A144" s="134" t="s">
        <v>335</v>
      </c>
      <c r="B144" s="7" t="s">
        <v>200</v>
      </c>
      <c r="C144" s="116">
        <v>242498344</v>
      </c>
      <c r="D144" s="220">
        <v>242498344</v>
      </c>
      <c r="E144" s="67">
        <v>115441271</v>
      </c>
    </row>
    <row r="145" spans="1:5" s="36" customFormat="1" ht="12" customHeight="1" x14ac:dyDescent="0.2">
      <c r="A145" s="134">
        <v>52</v>
      </c>
      <c r="B145" s="7" t="s">
        <v>184</v>
      </c>
      <c r="C145" s="118"/>
      <c r="D145" s="220">
        <v>0</v>
      </c>
      <c r="E145" s="67"/>
    </row>
    <row r="146" spans="1:5" s="36" customFormat="1" ht="12" customHeight="1" thickBot="1" x14ac:dyDescent="0.25">
      <c r="A146" s="143">
        <v>53</v>
      </c>
      <c r="B146" s="5" t="s">
        <v>153</v>
      </c>
      <c r="C146" s="169">
        <v>320630</v>
      </c>
      <c r="D146" s="220">
        <v>320630</v>
      </c>
      <c r="E146" s="67">
        <v>320630</v>
      </c>
    </row>
    <row r="147" spans="1:5" s="36" customFormat="1" ht="12" customHeight="1" thickBot="1" x14ac:dyDescent="0.25">
      <c r="A147" s="18">
        <v>54</v>
      </c>
      <c r="B147" s="39" t="s">
        <v>393</v>
      </c>
      <c r="C147" s="171">
        <f>SUM(C148:C152)</f>
        <v>0</v>
      </c>
      <c r="D147" s="171">
        <v>0</v>
      </c>
      <c r="E147" s="165">
        <f>SUM(E148:E152)</f>
        <v>0</v>
      </c>
    </row>
    <row r="148" spans="1:5" s="36" customFormat="1" ht="12" customHeight="1" x14ac:dyDescent="0.2">
      <c r="A148" s="134">
        <v>55</v>
      </c>
      <c r="B148" s="7" t="s">
        <v>182</v>
      </c>
      <c r="C148" s="116"/>
      <c r="D148" s="220">
        <v>0</v>
      </c>
      <c r="E148" s="67"/>
    </row>
    <row r="149" spans="1:5" s="36" customFormat="1" ht="12" customHeight="1" x14ac:dyDescent="0.2">
      <c r="A149" s="134" t="s">
        <v>339</v>
      </c>
      <c r="B149" s="7" t="s">
        <v>185</v>
      </c>
      <c r="C149" s="116"/>
      <c r="D149" s="220">
        <v>0</v>
      </c>
      <c r="E149" s="67"/>
    </row>
    <row r="150" spans="1:5" s="36" customFormat="1" ht="12" customHeight="1" x14ac:dyDescent="0.2">
      <c r="A150" s="134" t="s">
        <v>340</v>
      </c>
      <c r="B150" s="7" t="s">
        <v>183</v>
      </c>
      <c r="C150" s="116"/>
      <c r="D150" s="220">
        <v>0</v>
      </c>
      <c r="E150" s="67"/>
    </row>
    <row r="151" spans="1:5" s="36" customFormat="1" ht="12" customHeight="1" x14ac:dyDescent="0.2">
      <c r="A151" s="134" t="s">
        <v>341</v>
      </c>
      <c r="B151" s="7" t="s">
        <v>198</v>
      </c>
      <c r="C151" s="116"/>
      <c r="D151" s="220">
        <v>0</v>
      </c>
      <c r="E151" s="67"/>
    </row>
    <row r="152" spans="1:5" ht="12.75" customHeight="1" thickBot="1" x14ac:dyDescent="0.25">
      <c r="A152" s="143">
        <v>59</v>
      </c>
      <c r="B152" s="5" t="s">
        <v>186</v>
      </c>
      <c r="C152" s="116"/>
      <c r="D152" s="221">
        <v>0</v>
      </c>
      <c r="E152" s="69"/>
    </row>
    <row r="153" spans="1:5" ht="12.75" customHeight="1" thickBot="1" x14ac:dyDescent="0.25">
      <c r="A153" s="160">
        <v>60</v>
      </c>
      <c r="B153" s="39" t="s">
        <v>187</v>
      </c>
      <c r="C153" s="172"/>
      <c r="D153" s="225">
        <v>0</v>
      </c>
      <c r="E153" s="166"/>
    </row>
    <row r="154" spans="1:5" ht="12.75" customHeight="1" thickBot="1" x14ac:dyDescent="0.25">
      <c r="A154" s="160">
        <v>61</v>
      </c>
      <c r="B154" s="39" t="s">
        <v>188</v>
      </c>
      <c r="C154" s="172"/>
      <c r="D154" s="225"/>
      <c r="E154" s="166"/>
    </row>
    <row r="155" spans="1:5" ht="12" customHeight="1" thickBot="1" x14ac:dyDescent="0.25">
      <c r="A155" s="18">
        <v>62</v>
      </c>
      <c r="B155" s="39" t="s">
        <v>372</v>
      </c>
      <c r="C155" s="173">
        <f>C154+C153+C147+C141+C134+C130</f>
        <v>271318456</v>
      </c>
      <c r="D155" s="173">
        <f>D154+D153+D147+D141+D134+D130</f>
        <v>271318456</v>
      </c>
      <c r="E155" s="167">
        <f>E154+E153+E147+E141+E134+E130</f>
        <v>144261783</v>
      </c>
    </row>
    <row r="156" spans="1:5" ht="15.2" customHeight="1" thickBot="1" x14ac:dyDescent="0.25">
      <c r="A156" s="145" t="s">
        <v>344</v>
      </c>
      <c r="B156" s="105" t="s">
        <v>394</v>
      </c>
      <c r="C156" s="173">
        <f>C155+C129</f>
        <v>2222292249</v>
      </c>
      <c r="D156" s="173">
        <f>D155+D129</f>
        <v>2243431998</v>
      </c>
      <c r="E156" s="167">
        <f>E155+E129</f>
        <v>809104053</v>
      </c>
    </row>
    <row r="157" spans="1:5" ht="13.5" thickBot="1" x14ac:dyDescent="0.25">
      <c r="C157" s="192">
        <f>C91-C156</f>
        <v>0</v>
      </c>
      <c r="D157" s="192">
        <f>D91-D156</f>
        <v>0</v>
      </c>
      <c r="E157" s="192">
        <f>E91-E156</f>
        <v>737612903</v>
      </c>
    </row>
    <row r="158" spans="1:5" ht="15.2" customHeight="1" thickBot="1" x14ac:dyDescent="0.25">
      <c r="A158" s="63" t="s">
        <v>199</v>
      </c>
      <c r="B158" s="64"/>
      <c r="C158" s="298"/>
      <c r="D158" s="298"/>
      <c r="E158" s="370"/>
    </row>
    <row r="159" spans="1:5" ht="14.45" customHeight="1" thickBot="1" x14ac:dyDescent="0.25">
      <c r="A159" s="63" t="s">
        <v>66</v>
      </c>
      <c r="B159" s="64"/>
      <c r="C159" s="298"/>
      <c r="D159" s="298"/>
      <c r="E159" s="370"/>
    </row>
  </sheetData>
  <sheetProtection formatCells="0"/>
  <mergeCells count="5">
    <mergeCell ref="B1:E1"/>
    <mergeCell ref="B2:D2"/>
    <mergeCell ref="B3:D3"/>
    <mergeCell ref="A7:E7"/>
    <mergeCell ref="A93:E9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3" orientation="portrait" verticalDpi="300" r:id="rId1"/>
  <headerFooter alignWithMargins="0"/>
  <rowBreaks count="2" manualBreakCount="2">
    <brk id="70" max="16383" man="1"/>
    <brk id="9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8">
    <tabColor theme="8"/>
  </sheetPr>
  <dimension ref="A1:E59"/>
  <sheetViews>
    <sheetView topLeftCell="A2" zoomScale="120" zoomScaleNormal="120" workbookViewId="0">
      <selection activeCell="N11" sqref="N11"/>
    </sheetView>
  </sheetViews>
  <sheetFormatPr defaultRowHeight="12.75" x14ac:dyDescent="0.2"/>
  <cols>
    <col min="1" max="1" width="13" style="62" customWidth="1"/>
    <col min="2" max="2" width="59" style="2" customWidth="1"/>
    <col min="3" max="5" width="15.83203125" style="2" customWidth="1"/>
    <col min="6" max="16384" width="9.33203125" style="2"/>
  </cols>
  <sheetData>
    <row r="1" spans="1:5" s="1" customFormat="1" ht="21.2" hidden="1" customHeight="1" thickBot="1" x14ac:dyDescent="0.3">
      <c r="A1" s="184"/>
      <c r="B1" s="550" t="str">
        <f>CONCATENATE("9.2. melléklet ",IB_ALAPADATOK!A7," ",IB_ALAPADATOK!B7," ",IB_ALAPADATOK!C7," ",IB_ALAPADATOK!D7)</f>
        <v>9.2. melléklet a 2024. I. félévi költségvetési tájékoztatóhoz</v>
      </c>
      <c r="C1" s="551"/>
      <c r="D1" s="551"/>
      <c r="E1" s="551"/>
    </row>
    <row r="2" spans="1:5" s="32" customFormat="1" ht="16.5" thickBot="1" x14ac:dyDescent="0.25">
      <c r="A2" s="287"/>
      <c r="B2" s="556" t="str">
        <f>IB_ALAPADATOK!A11</f>
        <v>Bátaszéki Közös Önkormányzati Hivatal</v>
      </c>
      <c r="C2" s="557"/>
      <c r="D2" s="558"/>
      <c r="E2" s="288" t="s">
        <v>35</v>
      </c>
    </row>
    <row r="3" spans="1:5" s="32" customFormat="1" ht="16.5" thickBot="1" x14ac:dyDescent="0.25">
      <c r="A3" s="287"/>
      <c r="B3" s="556" t="s">
        <v>156</v>
      </c>
      <c r="C3" s="557"/>
      <c r="D3" s="558"/>
      <c r="E3" s="288" t="s">
        <v>32</v>
      </c>
    </row>
    <row r="4" spans="1:5" s="33" customFormat="1" ht="15.95" customHeight="1" thickBot="1" x14ac:dyDescent="0.3">
      <c r="A4" s="185"/>
      <c r="B4" s="185"/>
      <c r="C4" s="186"/>
      <c r="D4" s="279"/>
      <c r="E4" s="186" t="s">
        <v>651</v>
      </c>
    </row>
    <row r="5" spans="1:5" ht="24.75" thickBot="1" x14ac:dyDescent="0.25">
      <c r="A5" s="187" t="s">
        <v>65</v>
      </c>
      <c r="B5" s="188" t="s">
        <v>204</v>
      </c>
      <c r="C5" s="188" t="s">
        <v>285</v>
      </c>
      <c r="D5" s="280" t="s">
        <v>286</v>
      </c>
      <c r="E5" s="281" t="str">
        <f>+CONCATENATE(IB_ALAPADATOK!B7,IB_ALAPADATOK!C9," teljesítés")</f>
        <v>2024. VI. 30. teljesítés</v>
      </c>
    </row>
    <row r="6" spans="1:5" s="29" customFormat="1" ht="12.95" customHeight="1" thickBot="1" x14ac:dyDescent="0.25">
      <c r="A6" s="189" t="s">
        <v>190</v>
      </c>
      <c r="B6" s="190" t="s">
        <v>191</v>
      </c>
      <c r="C6" s="190" t="s">
        <v>192</v>
      </c>
      <c r="D6" s="289" t="s">
        <v>194</v>
      </c>
      <c r="E6" s="191" t="s">
        <v>193</v>
      </c>
    </row>
    <row r="7" spans="1:5" s="29" customFormat="1" ht="15.95" customHeight="1" thickBot="1" x14ac:dyDescent="0.25">
      <c r="A7" s="553" t="s">
        <v>33</v>
      </c>
      <c r="B7" s="554"/>
      <c r="C7" s="554"/>
      <c r="D7" s="554"/>
      <c r="E7" s="555"/>
    </row>
    <row r="8" spans="1:5" s="34" customFormat="1" ht="12" customHeight="1" thickBot="1" x14ac:dyDescent="0.25">
      <c r="A8" s="330">
        <v>1</v>
      </c>
      <c r="B8" s="56" t="s">
        <v>397</v>
      </c>
      <c r="C8" s="402">
        <f>SUM(C9:C19)</f>
        <v>2369682</v>
      </c>
      <c r="D8" s="83">
        <v>2369682</v>
      </c>
      <c r="E8" s="99">
        <f>SUM(E9:E19)</f>
        <v>1251097</v>
      </c>
    </row>
    <row r="9" spans="1:5" s="34" customFormat="1" ht="12" customHeight="1" x14ac:dyDescent="0.2">
      <c r="A9" s="147" t="s">
        <v>293</v>
      </c>
      <c r="B9" s="8" t="s">
        <v>93</v>
      </c>
      <c r="C9" s="403"/>
      <c r="D9" s="235">
        <v>0</v>
      </c>
      <c r="E9" s="290"/>
    </row>
    <row r="10" spans="1:5" s="34" customFormat="1" ht="12" customHeight="1" x14ac:dyDescent="0.2">
      <c r="A10" s="148" t="s">
        <v>294</v>
      </c>
      <c r="B10" s="6" t="s">
        <v>94</v>
      </c>
      <c r="C10" s="404">
        <v>150000</v>
      </c>
      <c r="D10" s="80">
        <v>150000</v>
      </c>
      <c r="E10" s="267">
        <v>148400</v>
      </c>
    </row>
    <row r="11" spans="1:5" s="34" customFormat="1" ht="12" customHeight="1" x14ac:dyDescent="0.2">
      <c r="A11" s="148" t="s">
        <v>295</v>
      </c>
      <c r="B11" s="6" t="s">
        <v>95</v>
      </c>
      <c r="C11" s="404">
        <v>1410000</v>
      </c>
      <c r="D11" s="80">
        <v>1410000</v>
      </c>
      <c r="E11" s="267">
        <v>530800</v>
      </c>
    </row>
    <row r="12" spans="1:5" s="34" customFormat="1" ht="12" customHeight="1" x14ac:dyDescent="0.2">
      <c r="A12" s="148" t="s">
        <v>296</v>
      </c>
      <c r="B12" s="6" t="s">
        <v>96</v>
      </c>
      <c r="C12" s="404"/>
      <c r="D12" s="80">
        <v>0</v>
      </c>
      <c r="E12" s="267"/>
    </row>
    <row r="13" spans="1:5" s="34" customFormat="1" ht="12" customHeight="1" x14ac:dyDescent="0.2">
      <c r="A13" s="148" t="s">
        <v>297</v>
      </c>
      <c r="B13" s="6" t="s">
        <v>97</v>
      </c>
      <c r="C13" s="404"/>
      <c r="D13" s="80">
        <v>0</v>
      </c>
      <c r="E13" s="267"/>
    </row>
    <row r="14" spans="1:5" s="34" customFormat="1" ht="12" customHeight="1" x14ac:dyDescent="0.2">
      <c r="A14" s="148" t="s">
        <v>298</v>
      </c>
      <c r="B14" s="6" t="s">
        <v>157</v>
      </c>
      <c r="C14" s="404">
        <v>421200</v>
      </c>
      <c r="D14" s="80">
        <v>421200</v>
      </c>
      <c r="E14" s="267">
        <v>183382</v>
      </c>
    </row>
    <row r="15" spans="1:5" s="34" customFormat="1" ht="12" customHeight="1" x14ac:dyDescent="0.2">
      <c r="A15" s="148" t="s">
        <v>314</v>
      </c>
      <c r="B15" s="5" t="s">
        <v>158</v>
      </c>
      <c r="C15" s="404">
        <v>388482</v>
      </c>
      <c r="D15" s="80">
        <v>388482</v>
      </c>
      <c r="E15" s="267">
        <v>388482</v>
      </c>
    </row>
    <row r="16" spans="1:5" s="34" customFormat="1" ht="12" customHeight="1" x14ac:dyDescent="0.2">
      <c r="A16" s="148" t="s">
        <v>292</v>
      </c>
      <c r="B16" s="6" t="s">
        <v>100</v>
      </c>
      <c r="C16" s="405"/>
      <c r="D16" s="236">
        <v>0</v>
      </c>
      <c r="E16" s="272">
        <v>11</v>
      </c>
    </row>
    <row r="17" spans="1:5" s="35" customFormat="1" ht="12" customHeight="1" x14ac:dyDescent="0.2">
      <c r="A17" s="148" t="s">
        <v>234</v>
      </c>
      <c r="B17" s="6" t="s">
        <v>101</v>
      </c>
      <c r="C17" s="404"/>
      <c r="D17" s="80">
        <v>0</v>
      </c>
      <c r="E17" s="267"/>
    </row>
    <row r="18" spans="1:5" s="35" customFormat="1" ht="12" customHeight="1" x14ac:dyDescent="0.2">
      <c r="A18" s="148" t="s">
        <v>235</v>
      </c>
      <c r="B18" s="6" t="s">
        <v>171</v>
      </c>
      <c r="C18" s="406"/>
      <c r="D18" s="82">
        <v>0</v>
      </c>
      <c r="E18" s="268"/>
    </row>
    <row r="19" spans="1:5" s="35" customFormat="1" ht="12" customHeight="1" thickBot="1" x14ac:dyDescent="0.25">
      <c r="A19" s="148" t="s">
        <v>236</v>
      </c>
      <c r="B19" s="5" t="s">
        <v>102</v>
      </c>
      <c r="C19" s="406"/>
      <c r="D19" s="82">
        <v>0</v>
      </c>
      <c r="E19" s="268">
        <v>22</v>
      </c>
    </row>
    <row r="20" spans="1:5" s="34" customFormat="1" ht="12" customHeight="1" thickBot="1" x14ac:dyDescent="0.25">
      <c r="A20" s="52" t="s">
        <v>299</v>
      </c>
      <c r="B20" s="56" t="s">
        <v>400</v>
      </c>
      <c r="C20" s="402">
        <f>SUM(C21:C23)</f>
        <v>22534054</v>
      </c>
      <c r="D20" s="83">
        <v>29046652</v>
      </c>
      <c r="E20" s="99">
        <f>SUM(E21:E23)</f>
        <v>17301325</v>
      </c>
    </row>
    <row r="21" spans="1:5" s="35" customFormat="1" ht="12" customHeight="1" x14ac:dyDescent="0.2">
      <c r="A21" s="148" t="s">
        <v>300</v>
      </c>
      <c r="B21" s="7" t="s">
        <v>86</v>
      </c>
      <c r="C21" s="404"/>
      <c r="D21" s="80">
        <v>0</v>
      </c>
      <c r="E21" s="267"/>
    </row>
    <row r="22" spans="1:5" s="35" customFormat="1" ht="12" customHeight="1" x14ac:dyDescent="0.2">
      <c r="A22" s="148" t="s">
        <v>315</v>
      </c>
      <c r="B22" s="6" t="s">
        <v>437</v>
      </c>
      <c r="C22" s="404"/>
      <c r="D22" s="80">
        <v>0</v>
      </c>
      <c r="E22" s="267"/>
    </row>
    <row r="23" spans="1:5" s="35" customFormat="1" ht="12" customHeight="1" x14ac:dyDescent="0.2">
      <c r="A23" s="148" t="s">
        <v>301</v>
      </c>
      <c r="B23" s="6" t="s">
        <v>438</v>
      </c>
      <c r="C23" s="404">
        <v>22534054</v>
      </c>
      <c r="D23" s="80">
        <v>29046652</v>
      </c>
      <c r="E23" s="267">
        <v>17301325</v>
      </c>
    </row>
    <row r="24" spans="1:5" s="35" customFormat="1" ht="12" customHeight="1" thickBot="1" x14ac:dyDescent="0.25">
      <c r="A24" s="148" t="s">
        <v>302</v>
      </c>
      <c r="B24" s="6" t="s">
        <v>398</v>
      </c>
      <c r="C24" s="404"/>
      <c r="D24" s="80">
        <v>0</v>
      </c>
      <c r="E24" s="267"/>
    </row>
    <row r="25" spans="1:5" s="35" customFormat="1" ht="12" customHeight="1" thickBot="1" x14ac:dyDescent="0.25">
      <c r="A25" s="55" t="s">
        <v>303</v>
      </c>
      <c r="B25" s="39" t="s">
        <v>55</v>
      </c>
      <c r="C25" s="407"/>
      <c r="D25" s="377">
        <v>0</v>
      </c>
      <c r="E25" s="98"/>
    </row>
    <row r="26" spans="1:5" s="35" customFormat="1" ht="12" customHeight="1" thickBot="1" x14ac:dyDescent="0.25">
      <c r="A26" s="55" t="s">
        <v>304</v>
      </c>
      <c r="B26" s="39" t="s">
        <v>399</v>
      </c>
      <c r="C26" s="402">
        <f>+C27+C28+C29</f>
        <v>0</v>
      </c>
      <c r="D26" s="83">
        <v>0</v>
      </c>
      <c r="E26" s="99">
        <f>SUM(E27:E29)</f>
        <v>0</v>
      </c>
    </row>
    <row r="27" spans="1:5" s="35" customFormat="1" ht="12" customHeight="1" x14ac:dyDescent="0.2">
      <c r="A27" s="149" t="s">
        <v>305</v>
      </c>
      <c r="B27" s="150" t="s">
        <v>89</v>
      </c>
      <c r="C27" s="408"/>
      <c r="D27" s="237">
        <v>0</v>
      </c>
      <c r="E27" s="273"/>
    </row>
    <row r="28" spans="1:5" s="35" customFormat="1" ht="12" customHeight="1" x14ac:dyDescent="0.2">
      <c r="A28" s="149" t="s">
        <v>306</v>
      </c>
      <c r="B28" s="150" t="s">
        <v>165</v>
      </c>
      <c r="C28" s="404"/>
      <c r="D28" s="80">
        <v>0</v>
      </c>
      <c r="E28" s="267"/>
    </row>
    <row r="29" spans="1:5" s="35" customFormat="1" ht="12" customHeight="1" x14ac:dyDescent="0.2">
      <c r="A29" s="149" t="s">
        <v>316</v>
      </c>
      <c r="B29" s="151" t="s">
        <v>91</v>
      </c>
      <c r="C29" s="404"/>
      <c r="D29" s="80">
        <v>0</v>
      </c>
      <c r="E29" s="267"/>
    </row>
    <row r="30" spans="1:5" s="35" customFormat="1" ht="12" customHeight="1" thickBot="1" x14ac:dyDescent="0.25">
      <c r="A30" s="148" t="s">
        <v>307</v>
      </c>
      <c r="B30" s="43" t="s">
        <v>432</v>
      </c>
      <c r="C30" s="409"/>
      <c r="D30" s="31">
        <v>0</v>
      </c>
      <c r="E30" s="291"/>
    </row>
    <row r="31" spans="1:5" s="35" customFormat="1" ht="12" customHeight="1" thickBot="1" x14ac:dyDescent="0.25">
      <c r="A31" s="55" t="s">
        <v>308</v>
      </c>
      <c r="B31" s="39" t="s">
        <v>401</v>
      </c>
      <c r="C31" s="402">
        <f>+C32+C33+C34</f>
        <v>0</v>
      </c>
      <c r="D31" s="83">
        <v>0</v>
      </c>
      <c r="E31" s="99">
        <f>SUM(E32:E34)</f>
        <v>0</v>
      </c>
    </row>
    <row r="32" spans="1:5" s="35" customFormat="1" ht="12" customHeight="1" x14ac:dyDescent="0.2">
      <c r="A32" s="149" t="s">
        <v>309</v>
      </c>
      <c r="B32" s="150" t="s">
        <v>103</v>
      </c>
      <c r="C32" s="408"/>
      <c r="D32" s="237">
        <v>0</v>
      </c>
      <c r="E32" s="273"/>
    </row>
    <row r="33" spans="1:5" s="35" customFormat="1" ht="12" customHeight="1" x14ac:dyDescent="0.2">
      <c r="A33" s="149" t="s">
        <v>310</v>
      </c>
      <c r="B33" s="151" t="s">
        <v>104</v>
      </c>
      <c r="C33" s="410"/>
      <c r="D33" s="84">
        <v>0</v>
      </c>
      <c r="E33" s="269"/>
    </row>
    <row r="34" spans="1:5" s="35" customFormat="1" ht="12" customHeight="1" thickBot="1" x14ac:dyDescent="0.25">
      <c r="A34" s="148" t="s">
        <v>311</v>
      </c>
      <c r="B34" s="43" t="s">
        <v>105</v>
      </c>
      <c r="C34" s="409"/>
      <c r="D34" s="31">
        <v>0</v>
      </c>
      <c r="E34" s="291"/>
    </row>
    <row r="35" spans="1:5" s="34" customFormat="1" ht="12" customHeight="1" thickBot="1" x14ac:dyDescent="0.25">
      <c r="A35" s="55" t="s">
        <v>312</v>
      </c>
      <c r="B35" s="39" t="s">
        <v>143</v>
      </c>
      <c r="C35" s="407"/>
      <c r="D35" s="377">
        <v>0</v>
      </c>
      <c r="E35" s="98"/>
    </row>
    <row r="36" spans="1:5" s="34" customFormat="1" ht="12" customHeight="1" thickBot="1" x14ac:dyDescent="0.25">
      <c r="A36" s="55" t="s">
        <v>313</v>
      </c>
      <c r="B36" s="39" t="s">
        <v>159</v>
      </c>
      <c r="C36" s="407"/>
      <c r="D36" s="377">
        <v>0</v>
      </c>
      <c r="E36" s="98"/>
    </row>
    <row r="37" spans="1:5" s="34" customFormat="1" ht="12" customHeight="1" thickBot="1" x14ac:dyDescent="0.25">
      <c r="A37" s="52" t="s">
        <v>317</v>
      </c>
      <c r="B37" s="39" t="s">
        <v>402</v>
      </c>
      <c r="C37" s="402">
        <f>+C8+C20+C25+C26+C31+C35+C36</f>
        <v>24903736</v>
      </c>
      <c r="D37" s="83">
        <f>D36+D35+D31+D26+D25+D20+D8</f>
        <v>31416334</v>
      </c>
      <c r="E37" s="99">
        <f>E36+E35+E31+E26+E25+E20+E8</f>
        <v>18552422</v>
      </c>
    </row>
    <row r="38" spans="1:5" s="34" customFormat="1" ht="12" customHeight="1" thickBot="1" x14ac:dyDescent="0.25">
      <c r="A38" s="57" t="s">
        <v>370</v>
      </c>
      <c r="B38" s="39" t="s">
        <v>403</v>
      </c>
      <c r="C38" s="402">
        <f>+C39+C40+C41</f>
        <v>243917590</v>
      </c>
      <c r="D38" s="83">
        <f>SUM(D39:D41)</f>
        <v>243917590</v>
      </c>
      <c r="E38" s="99">
        <f>SUM(E39:E41)</f>
        <v>128458981</v>
      </c>
    </row>
    <row r="39" spans="1:5" s="34" customFormat="1" ht="12" customHeight="1" x14ac:dyDescent="0.2">
      <c r="A39" s="149" t="s">
        <v>318</v>
      </c>
      <c r="B39" s="150" t="s">
        <v>439</v>
      </c>
      <c r="C39" s="408">
        <v>22365589</v>
      </c>
      <c r="D39" s="237">
        <v>22365589</v>
      </c>
      <c r="E39" s="273">
        <v>22365589</v>
      </c>
    </row>
    <row r="40" spans="1:5" s="34" customFormat="1" ht="12" customHeight="1" x14ac:dyDescent="0.2">
      <c r="A40" s="149" t="s">
        <v>319</v>
      </c>
      <c r="B40" s="151" t="s">
        <v>440</v>
      </c>
      <c r="C40" s="410"/>
      <c r="D40" s="84">
        <v>0</v>
      </c>
      <c r="E40" s="269"/>
    </row>
    <row r="41" spans="1:5" s="35" customFormat="1" ht="12" customHeight="1" thickBot="1" x14ac:dyDescent="0.25">
      <c r="A41" s="148" t="s">
        <v>320</v>
      </c>
      <c r="B41" s="43" t="s">
        <v>160</v>
      </c>
      <c r="C41" s="409">
        <v>221552001</v>
      </c>
      <c r="D41" s="31">
        <v>221552001</v>
      </c>
      <c r="E41" s="291">
        <v>106093392</v>
      </c>
    </row>
    <row r="42" spans="1:5" s="35" customFormat="1" ht="15.2" customHeight="1" thickBot="1" x14ac:dyDescent="0.25">
      <c r="A42" s="57" t="s">
        <v>321</v>
      </c>
      <c r="B42" s="58" t="s">
        <v>404</v>
      </c>
      <c r="C42" s="292">
        <f>C38+C37</f>
        <v>268821326</v>
      </c>
      <c r="D42" s="292">
        <f>D38+D37</f>
        <v>275333924</v>
      </c>
      <c r="E42" s="101">
        <f>E38+E37</f>
        <v>147011403</v>
      </c>
    </row>
    <row r="43" spans="1:5" s="29" customFormat="1" ht="16.5" customHeight="1" thickBot="1" x14ac:dyDescent="0.25">
      <c r="A43" s="553" t="s">
        <v>34</v>
      </c>
      <c r="B43" s="554"/>
      <c r="C43" s="554"/>
      <c r="D43" s="554"/>
      <c r="E43" s="555"/>
    </row>
    <row r="44" spans="1:5" s="36" customFormat="1" ht="12" customHeight="1" thickBot="1" x14ac:dyDescent="0.25">
      <c r="A44" s="332">
        <v>1</v>
      </c>
      <c r="B44" s="39" t="s">
        <v>405</v>
      </c>
      <c r="C44" s="402">
        <f>SUM(C45:C49)</f>
        <v>267665626</v>
      </c>
      <c r="D44" s="83">
        <v>274178224</v>
      </c>
      <c r="E44" s="99">
        <f>SUM(E45:E49)</f>
        <v>120881163</v>
      </c>
    </row>
    <row r="45" spans="1:5" ht="12" customHeight="1" x14ac:dyDescent="0.2">
      <c r="A45" s="148" t="s">
        <v>293</v>
      </c>
      <c r="B45" s="7" t="s">
        <v>30</v>
      </c>
      <c r="C45" s="408">
        <v>193335545</v>
      </c>
      <c r="D45" s="237">
        <v>198391109</v>
      </c>
      <c r="E45" s="273">
        <v>93085650</v>
      </c>
    </row>
    <row r="46" spans="1:5" ht="12" customHeight="1" x14ac:dyDescent="0.2">
      <c r="A46" s="148" t="s">
        <v>294</v>
      </c>
      <c r="B46" s="6" t="s">
        <v>56</v>
      </c>
      <c r="C46" s="411">
        <v>25898206</v>
      </c>
      <c r="D46" s="30">
        <v>26632193</v>
      </c>
      <c r="E46" s="270">
        <v>12680534</v>
      </c>
    </row>
    <row r="47" spans="1:5" ht="12" customHeight="1" x14ac:dyDescent="0.2">
      <c r="A47" s="148" t="s">
        <v>295</v>
      </c>
      <c r="B47" s="6" t="s">
        <v>46</v>
      </c>
      <c r="C47" s="411">
        <v>46982022</v>
      </c>
      <c r="D47" s="30">
        <v>47705069</v>
      </c>
      <c r="E47" s="270">
        <v>15114979</v>
      </c>
    </row>
    <row r="48" spans="1:5" ht="12" customHeight="1" x14ac:dyDescent="0.2">
      <c r="A48" s="148" t="s">
        <v>296</v>
      </c>
      <c r="B48" s="6" t="s">
        <v>57</v>
      </c>
      <c r="C48" s="411"/>
      <c r="D48" s="30">
        <v>0</v>
      </c>
      <c r="E48" s="270"/>
    </row>
    <row r="49" spans="1:5" ht="12" customHeight="1" thickBot="1" x14ac:dyDescent="0.25">
      <c r="A49" s="148" t="s">
        <v>297</v>
      </c>
      <c r="B49" s="6" t="s">
        <v>58</v>
      </c>
      <c r="C49" s="411">
        <v>1449853</v>
      </c>
      <c r="D49" s="30">
        <v>1449853</v>
      </c>
      <c r="E49" s="270"/>
    </row>
    <row r="50" spans="1:5" ht="12" customHeight="1" thickBot="1" x14ac:dyDescent="0.25">
      <c r="A50" s="55" t="s">
        <v>298</v>
      </c>
      <c r="B50" s="39" t="s">
        <v>406</v>
      </c>
      <c r="C50" s="402">
        <f>SUM(C51:C53)</f>
        <v>1155700</v>
      </c>
      <c r="D50" s="83">
        <v>1155700</v>
      </c>
      <c r="E50" s="99">
        <f>SUM(E51:E53)</f>
        <v>229900</v>
      </c>
    </row>
    <row r="51" spans="1:5" s="36" customFormat="1" ht="12" customHeight="1" x14ac:dyDescent="0.2">
      <c r="A51" s="148" t="s">
        <v>314</v>
      </c>
      <c r="B51" s="7" t="s">
        <v>67</v>
      </c>
      <c r="C51" s="408">
        <v>1155700</v>
      </c>
      <c r="D51" s="237">
        <v>1155700</v>
      </c>
      <c r="E51" s="273">
        <v>229900</v>
      </c>
    </row>
    <row r="52" spans="1:5" ht="12" customHeight="1" x14ac:dyDescent="0.2">
      <c r="A52" s="148" t="s">
        <v>292</v>
      </c>
      <c r="B52" s="6" t="s">
        <v>59</v>
      </c>
      <c r="C52" s="411"/>
      <c r="D52" s="30"/>
      <c r="E52" s="270"/>
    </row>
    <row r="53" spans="1:5" ht="12" customHeight="1" x14ac:dyDescent="0.2">
      <c r="A53" s="148" t="s">
        <v>234</v>
      </c>
      <c r="B53" s="6" t="s">
        <v>211</v>
      </c>
      <c r="C53" s="411"/>
      <c r="D53" s="30"/>
      <c r="E53" s="270"/>
    </row>
    <row r="54" spans="1:5" ht="12" customHeight="1" thickBot="1" x14ac:dyDescent="0.25">
      <c r="A54" s="148" t="s">
        <v>235</v>
      </c>
      <c r="B54" s="6" t="s">
        <v>431</v>
      </c>
      <c r="C54" s="411"/>
      <c r="D54" s="30"/>
      <c r="E54" s="270"/>
    </row>
    <row r="55" spans="1:5" ht="12" customHeight="1" thickBot="1" x14ac:dyDescent="0.25">
      <c r="A55" s="55" t="s">
        <v>236</v>
      </c>
      <c r="B55" s="39" t="s">
        <v>3</v>
      </c>
      <c r="C55" s="407"/>
      <c r="D55" s="377"/>
      <c r="E55" s="98"/>
    </row>
    <row r="56" spans="1:5" ht="15.2" customHeight="1" thickBot="1" x14ac:dyDescent="0.25">
      <c r="A56" s="55" t="s">
        <v>299</v>
      </c>
      <c r="B56" s="61" t="s">
        <v>407</v>
      </c>
      <c r="C56" s="292">
        <f>C55+C50+C44</f>
        <v>268821326</v>
      </c>
      <c r="D56" s="292">
        <f>D55+D50+D44</f>
        <v>275333924</v>
      </c>
      <c r="E56" s="101">
        <f>E55+E50+E44</f>
        <v>121111063</v>
      </c>
    </row>
    <row r="57" spans="1:5" ht="13.5" thickBot="1" x14ac:dyDescent="0.25">
      <c r="C57" s="299">
        <f>C42-C56</f>
        <v>0</v>
      </c>
      <c r="D57" s="299">
        <f>D42-D56</f>
        <v>0</v>
      </c>
      <c r="E57" s="299">
        <f>E42-E56</f>
        <v>25900340</v>
      </c>
    </row>
    <row r="58" spans="1:5" ht="15.2" customHeight="1" thickBot="1" x14ac:dyDescent="0.25">
      <c r="A58" s="63" t="s">
        <v>287</v>
      </c>
      <c r="B58" s="64"/>
      <c r="C58" s="298"/>
      <c r="D58" s="298"/>
      <c r="E58" s="284"/>
    </row>
    <row r="59" spans="1:5" ht="14.45" customHeight="1" thickBot="1" x14ac:dyDescent="0.25">
      <c r="A59" s="285" t="s">
        <v>288</v>
      </c>
      <c r="B59" s="286"/>
      <c r="C59" s="298"/>
      <c r="D59" s="298"/>
      <c r="E59" s="284"/>
    </row>
  </sheetData>
  <sheetProtection formatCells="0"/>
  <mergeCells count="5">
    <mergeCell ref="B1:E1"/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2">
    <tabColor theme="8"/>
  </sheetPr>
  <dimension ref="A1:E59"/>
  <sheetViews>
    <sheetView topLeftCell="A20" zoomScale="120" zoomScaleNormal="120" workbookViewId="0">
      <selection activeCell="I10" sqref="I10"/>
    </sheetView>
  </sheetViews>
  <sheetFormatPr defaultRowHeight="12.75" x14ac:dyDescent="0.2"/>
  <cols>
    <col min="1" max="1" width="13.83203125" style="62" customWidth="1"/>
    <col min="2" max="2" width="54.5" style="2" customWidth="1"/>
    <col min="3" max="5" width="15.83203125" style="2" customWidth="1"/>
    <col min="6" max="16384" width="9.33203125" style="2"/>
  </cols>
  <sheetData>
    <row r="1" spans="1:5" s="1" customFormat="1" ht="16.5" hidden="1" thickBot="1" x14ac:dyDescent="0.3">
      <c r="A1" s="184"/>
      <c r="B1" s="550" t="e">
        <f>CONCATENATE(#REF!," melléklet ",IB_ALAPADATOK!A7," ",IB_ALAPADATOK!B7," ",IB_ALAPADATOK!C7," ",IB_ALAPADATOK!D7)</f>
        <v>#REF!</v>
      </c>
      <c r="C1" s="551"/>
      <c r="D1" s="551"/>
      <c r="E1" s="551"/>
    </row>
    <row r="2" spans="1:5" s="32" customFormat="1" ht="25.5" customHeight="1" thickBot="1" x14ac:dyDescent="0.25">
      <c r="A2" s="287"/>
      <c r="B2" s="556" t="str">
        <f>CONCATENATE(IB_ALAPADATOK!B13)</f>
        <v>Keresztély Gyula Városi Könyvtár</v>
      </c>
      <c r="C2" s="557"/>
      <c r="D2" s="558"/>
      <c r="E2" s="288" t="s">
        <v>36</v>
      </c>
    </row>
    <row r="3" spans="1:5" s="32" customFormat="1" ht="16.5" thickBot="1" x14ac:dyDescent="0.25">
      <c r="A3" s="287"/>
      <c r="B3" s="556" t="s">
        <v>156</v>
      </c>
      <c r="C3" s="557"/>
      <c r="D3" s="558"/>
      <c r="E3" s="288" t="s">
        <v>32</v>
      </c>
    </row>
    <row r="4" spans="1:5" s="33" customFormat="1" ht="15.95" customHeight="1" thickBot="1" x14ac:dyDescent="0.3">
      <c r="A4" s="185"/>
      <c r="B4" s="185"/>
      <c r="C4" s="186"/>
      <c r="D4" s="279"/>
      <c r="E4" s="186" t="s">
        <v>651</v>
      </c>
    </row>
    <row r="5" spans="1:5" ht="24.75" thickBot="1" x14ac:dyDescent="0.25">
      <c r="A5" s="187" t="s">
        <v>65</v>
      </c>
      <c r="B5" s="188" t="s">
        <v>204</v>
      </c>
      <c r="C5" s="188" t="s">
        <v>285</v>
      </c>
      <c r="D5" s="280" t="s">
        <v>286</v>
      </c>
      <c r="E5" s="281" t="str">
        <f>+CONCATENATE(IB_ALAPADATOK!B7,IB_ALAPADATOK!C9," teljesítés")</f>
        <v>2024. VI. 30. teljesítés</v>
      </c>
    </row>
    <row r="6" spans="1:5" s="29" customFormat="1" ht="12.95" customHeight="1" thickBot="1" x14ac:dyDescent="0.25">
      <c r="A6" s="189" t="s">
        <v>190</v>
      </c>
      <c r="B6" s="190" t="s">
        <v>191</v>
      </c>
      <c r="C6" s="190" t="s">
        <v>192</v>
      </c>
      <c r="D6" s="289" t="s">
        <v>194</v>
      </c>
      <c r="E6" s="191" t="s">
        <v>193</v>
      </c>
    </row>
    <row r="7" spans="1:5" s="29" customFormat="1" ht="15.95" customHeight="1" thickBot="1" x14ac:dyDescent="0.25">
      <c r="A7" s="553" t="s">
        <v>33</v>
      </c>
      <c r="B7" s="554"/>
      <c r="C7" s="554"/>
      <c r="D7" s="554"/>
      <c r="E7" s="555"/>
    </row>
    <row r="8" spans="1:5" s="34" customFormat="1" ht="12" customHeight="1" thickBot="1" x14ac:dyDescent="0.25">
      <c r="A8" s="52">
        <f>IB_5.2.sz.mell!A8</f>
        <v>1</v>
      </c>
      <c r="B8" s="56" t="str">
        <f>IB_5.2.sz.mell!B8</f>
        <v>Működési bevételek (2+…+12)</v>
      </c>
      <c r="C8" s="402">
        <f>SUM(C9:C19)</f>
        <v>450000</v>
      </c>
      <c r="D8" s="402">
        <f>SUM(D9:D19)</f>
        <v>450000</v>
      </c>
      <c r="E8" s="85">
        <f>SUM(E9:E19)</f>
        <v>366310</v>
      </c>
    </row>
    <row r="9" spans="1:5" s="34" customFormat="1" ht="12" customHeight="1" x14ac:dyDescent="0.2">
      <c r="A9" s="147" t="str">
        <f>IB_5.2.sz.mell!A9</f>
        <v>2</v>
      </c>
      <c r="B9" s="8" t="str">
        <f>IB_5.2.sz.mell!B9</f>
        <v>Készletértékesítés ellenértéke</v>
      </c>
      <c r="C9" s="403"/>
      <c r="D9" s="403"/>
      <c r="E9" s="290"/>
    </row>
    <row r="10" spans="1:5" s="34" customFormat="1" ht="12" customHeight="1" x14ac:dyDescent="0.2">
      <c r="A10" s="148" t="str">
        <f>IB_5.2.sz.mell!A10</f>
        <v>3</v>
      </c>
      <c r="B10" s="6" t="str">
        <f>IB_5.2.sz.mell!B10</f>
        <v>Szolgáltatások ellenértéke</v>
      </c>
      <c r="C10" s="404">
        <v>350000</v>
      </c>
      <c r="D10" s="404">
        <v>350000</v>
      </c>
      <c r="E10" s="267">
        <v>343950</v>
      </c>
    </row>
    <row r="11" spans="1:5" s="34" customFormat="1" ht="12" customHeight="1" x14ac:dyDescent="0.2">
      <c r="A11" s="148" t="str">
        <f>IB_5.2.sz.mell!A11</f>
        <v>4</v>
      </c>
      <c r="B11" s="6" t="str">
        <f>IB_5.2.sz.mell!B11</f>
        <v>Közvetített szolgáltatások értéke</v>
      </c>
      <c r="C11" s="404"/>
      <c r="D11" s="404"/>
      <c r="E11" s="267"/>
    </row>
    <row r="12" spans="1:5" s="34" customFormat="1" ht="12" customHeight="1" x14ac:dyDescent="0.2">
      <c r="A12" s="148" t="str">
        <f>IB_5.2.sz.mell!A12</f>
        <v>5</v>
      </c>
      <c r="B12" s="6" t="str">
        <f>IB_5.2.sz.mell!B12</f>
        <v>Tulajdonosi bevételek</v>
      </c>
      <c r="C12" s="404"/>
      <c r="D12" s="404"/>
      <c r="E12" s="267"/>
    </row>
    <row r="13" spans="1:5" s="34" customFormat="1" ht="12" customHeight="1" x14ac:dyDescent="0.2">
      <c r="A13" s="148" t="str">
        <f>IB_5.2.sz.mell!A13</f>
        <v>6</v>
      </c>
      <c r="B13" s="6" t="str">
        <f>IB_5.2.sz.mell!B13</f>
        <v>Ellátási díjak</v>
      </c>
      <c r="C13" s="404"/>
      <c r="D13" s="404"/>
      <c r="E13" s="267"/>
    </row>
    <row r="14" spans="1:5" s="34" customFormat="1" ht="12" customHeight="1" x14ac:dyDescent="0.2">
      <c r="A14" s="148" t="str">
        <f>IB_5.2.sz.mell!A14</f>
        <v>7</v>
      </c>
      <c r="B14" s="6" t="str">
        <f>IB_5.2.sz.mell!B14</f>
        <v>Kiszámlázott általános forgalmi adó</v>
      </c>
      <c r="C14" s="404"/>
      <c r="D14" s="404"/>
      <c r="E14" s="267"/>
    </row>
    <row r="15" spans="1:5" s="34" customFormat="1" ht="12" customHeight="1" x14ac:dyDescent="0.2">
      <c r="A15" s="148" t="str">
        <f>IB_5.2.sz.mell!A15</f>
        <v>8</v>
      </c>
      <c r="B15" s="5" t="str">
        <f>IB_5.2.sz.mell!B15</f>
        <v>Általános forgalmi adó visszatérülése</v>
      </c>
      <c r="C15" s="404"/>
      <c r="D15" s="404"/>
      <c r="E15" s="267"/>
    </row>
    <row r="16" spans="1:5" s="34" customFormat="1" ht="12" customHeight="1" x14ac:dyDescent="0.2">
      <c r="A16" s="148" t="str">
        <f>IB_5.2.sz.mell!A16</f>
        <v>9</v>
      </c>
      <c r="B16" s="6" t="str">
        <f>IB_5.2.sz.mell!B16</f>
        <v>Kamatbevételek</v>
      </c>
      <c r="C16" s="405"/>
      <c r="D16" s="405"/>
      <c r="E16" s="272"/>
    </row>
    <row r="17" spans="1:5" s="35" customFormat="1" ht="12" customHeight="1" x14ac:dyDescent="0.2">
      <c r="A17" s="148" t="str">
        <f>IB_5.2.sz.mell!A17</f>
        <v>10</v>
      </c>
      <c r="B17" s="6" t="str">
        <f>IB_5.2.sz.mell!B17</f>
        <v>Egyéb pénzügyi műveletek bevételei</v>
      </c>
      <c r="C17" s="404"/>
      <c r="D17" s="404"/>
      <c r="E17" s="267"/>
    </row>
    <row r="18" spans="1:5" s="35" customFormat="1" ht="12" customHeight="1" x14ac:dyDescent="0.2">
      <c r="A18" s="148" t="str">
        <f>IB_5.2.sz.mell!A18</f>
        <v>11</v>
      </c>
      <c r="B18" s="6" t="str">
        <f>IB_5.2.sz.mell!B18</f>
        <v>Biztosító által fizetett kártérítés</v>
      </c>
      <c r="C18" s="406"/>
      <c r="D18" s="406"/>
      <c r="E18" s="268"/>
    </row>
    <row r="19" spans="1:5" s="35" customFormat="1" ht="12" customHeight="1" thickBot="1" x14ac:dyDescent="0.25">
      <c r="A19" s="148" t="str">
        <f>IB_5.2.sz.mell!A19</f>
        <v>12</v>
      </c>
      <c r="B19" s="5" t="str">
        <f>IB_5.2.sz.mell!B19</f>
        <v>Egyéb működési bevételek</v>
      </c>
      <c r="C19" s="406">
        <v>100000</v>
      </c>
      <c r="D19" s="406">
        <v>100000</v>
      </c>
      <c r="E19" s="268">
        <v>22360</v>
      </c>
    </row>
    <row r="20" spans="1:5" s="34" customFormat="1" ht="12" customHeight="1" thickBot="1" x14ac:dyDescent="0.25">
      <c r="A20" s="52" t="str">
        <f>IB_5.2.sz.mell!A20</f>
        <v>13</v>
      </c>
      <c r="B20" s="56" t="str">
        <f>IB_5.2.sz.mell!B20</f>
        <v>Működési célú támogatások államháztartáson belülről (14+…+16)</v>
      </c>
      <c r="C20" s="402">
        <f>SUM(C21:C23)</f>
        <v>0</v>
      </c>
      <c r="D20" s="402">
        <f>SUM(D21:D23)</f>
        <v>0</v>
      </c>
      <c r="E20" s="99">
        <f>SUM(E21:E23)</f>
        <v>0</v>
      </c>
    </row>
    <row r="21" spans="1:5" s="35" customFormat="1" ht="12" customHeight="1" x14ac:dyDescent="0.2">
      <c r="A21" s="148" t="str">
        <f>IB_5.2.sz.mell!A21</f>
        <v>14</v>
      </c>
      <c r="B21" s="7" t="str">
        <f>IB_5.2.sz.mell!B21</f>
        <v>Elvonások és befizetések bevételei</v>
      </c>
      <c r="C21" s="404"/>
      <c r="D21" s="404"/>
      <c r="E21" s="267"/>
    </row>
    <row r="22" spans="1:5" s="35" customFormat="1" ht="12" customHeight="1" x14ac:dyDescent="0.2">
      <c r="A22" s="148" t="str">
        <f>IB_5.2.sz.mell!A22</f>
        <v>15</v>
      </c>
      <c r="B22" s="6" t="str">
        <f>IB_5.2.sz.mell!B22</f>
        <v>Működési célú visszatérítendő támogatások, kölcsönök visszatérülése</v>
      </c>
      <c r="C22" s="404"/>
      <c r="D22" s="404"/>
      <c r="E22" s="267"/>
    </row>
    <row r="23" spans="1:5" s="35" customFormat="1" ht="12" customHeight="1" x14ac:dyDescent="0.2">
      <c r="A23" s="148" t="str">
        <f>IB_5.2.sz.mell!A23</f>
        <v>16</v>
      </c>
      <c r="B23" s="6" t="str">
        <f>IB_5.2.sz.mell!B23</f>
        <v>Egyéb működési célú támogatások bevételei</v>
      </c>
      <c r="C23" s="404"/>
      <c r="D23" s="404"/>
      <c r="E23" s="267"/>
    </row>
    <row r="24" spans="1:5" s="35" customFormat="1" ht="12" customHeight="1" thickBot="1" x14ac:dyDescent="0.25">
      <c r="A24" s="148" t="str">
        <f>IB_5.2.sz.mell!A24</f>
        <v>17</v>
      </c>
      <c r="B24" s="6" t="str">
        <f>IB_5.2.sz.mell!B24</f>
        <v xml:space="preserve">  16-ból EU támogatás</v>
      </c>
      <c r="C24" s="404"/>
      <c r="D24" s="404"/>
      <c r="E24" s="267"/>
    </row>
    <row r="25" spans="1:5" s="35" customFormat="1" ht="12" customHeight="1" thickBot="1" x14ac:dyDescent="0.25">
      <c r="A25" s="55" t="str">
        <f>IB_5.2.sz.mell!A25</f>
        <v>18</v>
      </c>
      <c r="B25" s="39" t="str">
        <f>IB_5.2.sz.mell!B25</f>
        <v>Közhatalmi bevételek</v>
      </c>
      <c r="C25" s="407"/>
      <c r="D25" s="407"/>
      <c r="E25" s="98"/>
    </row>
    <row r="26" spans="1:5" s="35" customFormat="1" ht="12" customHeight="1" thickBot="1" x14ac:dyDescent="0.25">
      <c r="A26" s="55" t="str">
        <f>IB_5.2.sz.mell!A26</f>
        <v>19</v>
      </c>
      <c r="B26" s="39" t="str">
        <f>IB_5.2.sz.mell!B26</f>
        <v>Felhalmozási célú támogatások államháztartáson belülről (20+…+22)</v>
      </c>
      <c r="C26" s="402">
        <f>+C27+C28+C29</f>
        <v>0</v>
      </c>
      <c r="D26" s="402">
        <f>+D27+D28+D29</f>
        <v>0</v>
      </c>
      <c r="E26" s="99">
        <f>SUM(E27:E29)</f>
        <v>0</v>
      </c>
    </row>
    <row r="27" spans="1:5" s="35" customFormat="1" ht="12" customHeight="1" x14ac:dyDescent="0.2">
      <c r="A27" s="149" t="str">
        <f>IB_5.2.sz.mell!A27</f>
        <v>20</v>
      </c>
      <c r="B27" s="150" t="str">
        <f>IB_5.2.sz.mell!B27</f>
        <v>Felhalmozási célú önkormányzati támogatások</v>
      </c>
      <c r="C27" s="408"/>
      <c r="D27" s="408"/>
      <c r="E27" s="273"/>
    </row>
    <row r="28" spans="1:5" s="35" customFormat="1" ht="12" customHeight="1" x14ac:dyDescent="0.2">
      <c r="A28" s="149" t="str">
        <f>IB_5.2.sz.mell!A28</f>
        <v>21</v>
      </c>
      <c r="B28" s="150" t="str">
        <f>IB_5.2.sz.mell!B28</f>
        <v>Felhalmozási célú visszatérítendő támogatások, kölcsönök visszatérülése</v>
      </c>
      <c r="C28" s="404"/>
      <c r="D28" s="404"/>
      <c r="E28" s="273"/>
    </row>
    <row r="29" spans="1:5" s="35" customFormat="1" ht="15" x14ac:dyDescent="0.2">
      <c r="A29" s="149" t="str">
        <f>IB_5.2.sz.mell!A29</f>
        <v>22</v>
      </c>
      <c r="B29" s="151" t="str">
        <f>IB_5.2.sz.mell!B29</f>
        <v>Egyéb felhalmozási célú támogatások bevételei</v>
      </c>
      <c r="C29" s="404"/>
      <c r="D29" s="404"/>
      <c r="E29" s="273"/>
    </row>
    <row r="30" spans="1:5" s="35" customFormat="1" ht="12" customHeight="1" thickBot="1" x14ac:dyDescent="0.25">
      <c r="A30" s="148" t="str">
        <f>IB_5.2.sz.mell!A30</f>
        <v>23</v>
      </c>
      <c r="B30" s="43" t="str">
        <f>IB_5.2.sz.mell!B30</f>
        <v xml:space="preserve">   22-ből EU-s támogatás</v>
      </c>
      <c r="C30" s="409"/>
      <c r="D30" s="409"/>
      <c r="E30" s="291"/>
    </row>
    <row r="31" spans="1:5" s="35" customFormat="1" ht="12" customHeight="1" thickBot="1" x14ac:dyDescent="0.25">
      <c r="A31" s="55" t="str">
        <f>IB_5.2.sz.mell!A31</f>
        <v>24</v>
      </c>
      <c r="B31" s="39" t="str">
        <f>IB_5.2.sz.mell!B31</f>
        <v>Felhalmozási bevételek (25+…+27)</v>
      </c>
      <c r="C31" s="402">
        <f>+C32+C33+C34</f>
        <v>0</v>
      </c>
      <c r="D31" s="402">
        <f>+D32+D33+D34</f>
        <v>0</v>
      </c>
      <c r="E31" s="99">
        <f>SUM(E32:E34)</f>
        <v>0</v>
      </c>
    </row>
    <row r="32" spans="1:5" s="35" customFormat="1" ht="12" customHeight="1" x14ac:dyDescent="0.2">
      <c r="A32" s="149" t="str">
        <f>IB_5.2.sz.mell!A32</f>
        <v>25</v>
      </c>
      <c r="B32" s="150" t="str">
        <f>IB_5.2.sz.mell!B32</f>
        <v>Immateriális javak értékesítése</v>
      </c>
      <c r="C32" s="408"/>
      <c r="D32" s="408"/>
      <c r="E32" s="273"/>
    </row>
    <row r="33" spans="1:5" s="35" customFormat="1" ht="12" customHeight="1" x14ac:dyDescent="0.2">
      <c r="A33" s="149" t="str">
        <f>IB_5.2.sz.mell!A33</f>
        <v>26</v>
      </c>
      <c r="B33" s="151" t="str">
        <f>IB_5.2.sz.mell!B33</f>
        <v>Ingatlanok értékesítése</v>
      </c>
      <c r="C33" s="410"/>
      <c r="D33" s="410"/>
      <c r="E33" s="269"/>
    </row>
    <row r="34" spans="1:5" s="35" customFormat="1" ht="12" customHeight="1" thickBot="1" x14ac:dyDescent="0.25">
      <c r="A34" s="148" t="str">
        <f>IB_5.2.sz.mell!A34</f>
        <v>27</v>
      </c>
      <c r="B34" s="43" t="str">
        <f>IB_5.2.sz.mell!B34</f>
        <v>Egyéb tárgyi eszközök értékesítése</v>
      </c>
      <c r="C34" s="409"/>
      <c r="D34" s="409"/>
      <c r="E34" s="291"/>
    </row>
    <row r="35" spans="1:5" s="34" customFormat="1" ht="12" customHeight="1" thickBot="1" x14ac:dyDescent="0.25">
      <c r="A35" s="55" t="str">
        <f>IB_5.2.sz.mell!A35</f>
        <v>28</v>
      </c>
      <c r="B35" s="39" t="str">
        <f>IB_5.2.sz.mell!B35</f>
        <v>Működési célú átvett pénzeszközök</v>
      </c>
      <c r="C35" s="407"/>
      <c r="D35" s="407"/>
      <c r="E35" s="98"/>
    </row>
    <row r="36" spans="1:5" s="34" customFormat="1" ht="12" customHeight="1" thickBot="1" x14ac:dyDescent="0.25">
      <c r="A36" s="55" t="str">
        <f>IB_5.2.sz.mell!A36</f>
        <v>29</v>
      </c>
      <c r="B36" s="39" t="str">
        <f>IB_5.2.sz.mell!B36</f>
        <v>Felhalmozási célú átvett pénzeszközök</v>
      </c>
      <c r="C36" s="407"/>
      <c r="D36" s="407"/>
      <c r="E36" s="98"/>
    </row>
    <row r="37" spans="1:5" s="34" customFormat="1" ht="12" customHeight="1" thickBot="1" x14ac:dyDescent="0.25">
      <c r="A37" s="52" t="str">
        <f>IB_5.2.sz.mell!A37</f>
        <v>30</v>
      </c>
      <c r="B37" s="39" t="str">
        <f>IB_5.2.sz.mell!B37</f>
        <v>Költségvetési bevételek összesen (1+13+18+19+24+28+29)</v>
      </c>
      <c r="C37" s="402">
        <f>+C8+C20+C25+C26+C31+C35+C36</f>
        <v>450000</v>
      </c>
      <c r="D37" s="402">
        <f>+D8+D20+D25+D26+D31+D35+D36</f>
        <v>450000</v>
      </c>
      <c r="E37" s="99">
        <f>E36+E35+E31+E26+E25+E20+E8</f>
        <v>366310</v>
      </c>
    </row>
    <row r="38" spans="1:5" s="34" customFormat="1" ht="12" customHeight="1" thickBot="1" x14ac:dyDescent="0.25">
      <c r="A38" s="57" t="str">
        <f>IB_5.2.sz.mell!A38</f>
        <v>31</v>
      </c>
      <c r="B38" s="39" t="str">
        <f>IB_5.2.sz.mell!B38</f>
        <v>Finanszírozási bevételek (32+…+34)</v>
      </c>
      <c r="C38" s="402">
        <f>+C39+C40+C41</f>
        <v>21354000</v>
      </c>
      <c r="D38" s="402">
        <f>+D39+D40+D41</f>
        <v>21354000</v>
      </c>
      <c r="E38" s="99">
        <f>SUM(E39:E41)</f>
        <v>9755536</v>
      </c>
    </row>
    <row r="39" spans="1:5" s="34" customFormat="1" ht="12" customHeight="1" x14ac:dyDescent="0.2">
      <c r="A39" s="149" t="str">
        <f>IB_5.2.sz.mell!A39</f>
        <v>32</v>
      </c>
      <c r="B39" s="150" t="str">
        <f>IB_5.2.sz.mell!B39</f>
        <v>Előző évi költségvetési maradvány igénybevétele</v>
      </c>
      <c r="C39" s="408">
        <v>407657</v>
      </c>
      <c r="D39" s="408">
        <v>407657</v>
      </c>
      <c r="E39" s="273">
        <v>407657</v>
      </c>
    </row>
    <row r="40" spans="1:5" s="34" customFormat="1" ht="12" customHeight="1" x14ac:dyDescent="0.2">
      <c r="A40" s="149" t="str">
        <f>IB_5.2.sz.mell!A40</f>
        <v>33</v>
      </c>
      <c r="B40" s="151" t="str">
        <f>IB_5.2.sz.mell!B40</f>
        <v>Előző évi vállalkozási maradvány igénybevétele</v>
      </c>
      <c r="C40" s="410"/>
      <c r="D40" s="410"/>
      <c r="E40" s="269"/>
    </row>
    <row r="41" spans="1:5" s="35" customFormat="1" ht="12" customHeight="1" thickBot="1" x14ac:dyDescent="0.25">
      <c r="A41" s="148" t="str">
        <f>IB_5.2.sz.mell!A41</f>
        <v>34</v>
      </c>
      <c r="B41" s="43" t="str">
        <f>IB_5.2.sz.mell!B41</f>
        <v>Irányító szervi (önkormányzati) támogatás (intézményfinanszírozás)</v>
      </c>
      <c r="C41" s="409">
        <v>20946343</v>
      </c>
      <c r="D41" s="409">
        <v>20946343</v>
      </c>
      <c r="E41" s="291">
        <v>9347879</v>
      </c>
    </row>
    <row r="42" spans="1:5" s="35" customFormat="1" ht="15.2" customHeight="1" thickBot="1" x14ac:dyDescent="0.25">
      <c r="A42" s="57" t="str">
        <f>IB_5.2.sz.mell!A42</f>
        <v>35</v>
      </c>
      <c r="B42" s="58" t="str">
        <f>IB_5.2.sz.mell!B42</f>
        <v>BEVÉTELEK ÖSSZESEN: (30+31)</v>
      </c>
      <c r="C42" s="292">
        <f>C38+C37</f>
        <v>21804000</v>
      </c>
      <c r="D42" s="293">
        <f>D38+D37</f>
        <v>21804000</v>
      </c>
      <c r="E42" s="101">
        <f>E38+E37</f>
        <v>10121846</v>
      </c>
    </row>
    <row r="43" spans="1:5" s="29" customFormat="1" ht="16.5" customHeight="1" thickBot="1" x14ac:dyDescent="0.25">
      <c r="A43" s="553" t="s">
        <v>34</v>
      </c>
      <c r="B43" s="554"/>
      <c r="C43" s="554"/>
      <c r="D43" s="554"/>
      <c r="E43" s="555"/>
    </row>
    <row r="44" spans="1:5" s="36" customFormat="1" ht="12" customHeight="1" thickBot="1" x14ac:dyDescent="0.25">
      <c r="A44" s="55">
        <f>IB_5.2.sz.mell!A44</f>
        <v>1</v>
      </c>
      <c r="B44" s="39" t="str">
        <f>IB_5.2.sz.mell!B44</f>
        <v>Működési költségvetés kiadásai (2+…+6)</v>
      </c>
      <c r="C44" s="402">
        <f>SUM(C45:C49)</f>
        <v>19804000</v>
      </c>
      <c r="D44" s="402">
        <f>SUM(D45:D49)</f>
        <v>19804000</v>
      </c>
      <c r="E44" s="99">
        <f>SUM(E45:E49)</f>
        <v>8254291</v>
      </c>
    </row>
    <row r="45" spans="1:5" ht="12" customHeight="1" x14ac:dyDescent="0.2">
      <c r="A45" s="148" t="str">
        <f>IB_5.2.sz.mell!A45</f>
        <v>2</v>
      </c>
      <c r="B45" s="7" t="str">
        <f>IB_5.2.sz.mell!B45</f>
        <v>Személyi  juttatások</v>
      </c>
      <c r="C45" s="408">
        <v>10554000</v>
      </c>
      <c r="D45" s="408">
        <v>10554000</v>
      </c>
      <c r="E45" s="273">
        <v>5088411</v>
      </c>
    </row>
    <row r="46" spans="1:5" ht="12" customHeight="1" x14ac:dyDescent="0.2">
      <c r="A46" s="148" t="str">
        <f>IB_5.2.sz.mell!A46</f>
        <v>3</v>
      </c>
      <c r="B46" s="6" t="str">
        <f>IB_5.2.sz.mell!B46</f>
        <v>Munkaadókat terhelő járulékok és szociális hozzájárulási adó</v>
      </c>
      <c r="C46" s="411">
        <v>601000</v>
      </c>
      <c r="D46" s="411">
        <v>601000</v>
      </c>
      <c r="E46" s="270">
        <v>288118</v>
      </c>
    </row>
    <row r="47" spans="1:5" ht="12" customHeight="1" x14ac:dyDescent="0.2">
      <c r="A47" s="148" t="str">
        <f>IB_5.2.sz.mell!A47</f>
        <v>4</v>
      </c>
      <c r="B47" s="6" t="str">
        <f>IB_5.2.sz.mell!B47</f>
        <v>Dologi  kiadások</v>
      </c>
      <c r="C47" s="411">
        <v>8649000</v>
      </c>
      <c r="D47" s="411">
        <v>8649000</v>
      </c>
      <c r="E47" s="270">
        <v>2877762</v>
      </c>
    </row>
    <row r="48" spans="1:5" ht="12" customHeight="1" x14ac:dyDescent="0.2">
      <c r="A48" s="148" t="str">
        <f>IB_5.2.sz.mell!A48</f>
        <v>5</v>
      </c>
      <c r="B48" s="6" t="str">
        <f>IB_5.2.sz.mell!B48</f>
        <v>Ellátottak pénzbeli juttatásai</v>
      </c>
      <c r="C48" s="411"/>
      <c r="D48" s="411"/>
      <c r="E48" s="270"/>
    </row>
    <row r="49" spans="1:5" ht="12" customHeight="1" thickBot="1" x14ac:dyDescent="0.25">
      <c r="A49" s="148" t="str">
        <f>IB_5.2.sz.mell!A49</f>
        <v>6</v>
      </c>
      <c r="B49" s="6" t="str">
        <f>IB_5.2.sz.mell!B49</f>
        <v>Egyéb működési célú kiadások</v>
      </c>
      <c r="C49" s="411"/>
      <c r="D49" s="411"/>
      <c r="E49" s="270"/>
    </row>
    <row r="50" spans="1:5" ht="12" customHeight="1" thickBot="1" x14ac:dyDescent="0.25">
      <c r="A50" s="55" t="str">
        <f>IB_5.2.sz.mell!A50</f>
        <v>7</v>
      </c>
      <c r="B50" s="39" t="str">
        <f>IB_5.2.sz.mell!B50</f>
        <v>Felhalmozási költségvetés kiadásai (8+…+10)</v>
      </c>
      <c r="C50" s="402">
        <f>SUM(C51:C53)</f>
        <v>2000000</v>
      </c>
      <c r="D50" s="402">
        <f>SUM(D51:D53)</f>
        <v>2000000</v>
      </c>
      <c r="E50" s="99">
        <f>SUM(E51:E53)</f>
        <v>1123805</v>
      </c>
    </row>
    <row r="51" spans="1:5" s="36" customFormat="1" ht="12" customHeight="1" x14ac:dyDescent="0.2">
      <c r="A51" s="148" t="str">
        <f>IB_5.2.sz.mell!A51</f>
        <v>8</v>
      </c>
      <c r="B51" s="7" t="str">
        <f>IB_5.2.sz.mell!B51</f>
        <v>Beruházások</v>
      </c>
      <c r="C51" s="408">
        <v>2000000</v>
      </c>
      <c r="D51" s="408">
        <v>2000000</v>
      </c>
      <c r="E51" s="273">
        <v>1123805</v>
      </c>
    </row>
    <row r="52" spans="1:5" ht="12" customHeight="1" x14ac:dyDescent="0.2">
      <c r="A52" s="148" t="str">
        <f>IB_5.2.sz.mell!A52</f>
        <v>9</v>
      </c>
      <c r="B52" s="6" t="str">
        <f>IB_5.2.sz.mell!B52</f>
        <v>Felújítások</v>
      </c>
      <c r="C52" s="411"/>
      <c r="D52" s="411"/>
      <c r="E52" s="270"/>
    </row>
    <row r="53" spans="1:5" ht="12" customHeight="1" x14ac:dyDescent="0.2">
      <c r="A53" s="148" t="str">
        <f>IB_5.2.sz.mell!A53</f>
        <v>10</v>
      </c>
      <c r="B53" s="6" t="str">
        <f>IB_5.2.sz.mell!B53</f>
        <v>Egyéb felhalmozási célú kiadások</v>
      </c>
      <c r="C53" s="411"/>
      <c r="D53" s="411"/>
      <c r="E53" s="270"/>
    </row>
    <row r="54" spans="1:5" ht="12" customHeight="1" thickBot="1" x14ac:dyDescent="0.25">
      <c r="A54" s="148" t="str">
        <f>IB_5.2.sz.mell!A54</f>
        <v>11</v>
      </c>
      <c r="B54" s="6" t="str">
        <f>IB_5.2.sz.mell!B54</f>
        <v xml:space="preserve">   10-ből EU-s támogatásból megvalósuló programok, projektek kiadása</v>
      </c>
      <c r="C54" s="30"/>
      <c r="D54" s="42"/>
      <c r="E54" s="270"/>
    </row>
    <row r="55" spans="1:5" ht="15.2" customHeight="1" thickBot="1" x14ac:dyDescent="0.25">
      <c r="A55" s="55" t="str">
        <f>IB_5.2.sz.mell!A55</f>
        <v>12</v>
      </c>
      <c r="B55" s="39" t="str">
        <f>IB_5.2.sz.mell!B55</f>
        <v>Finanszírozási kiadások</v>
      </c>
      <c r="C55" s="377"/>
      <c r="D55" s="378"/>
      <c r="E55" s="98"/>
    </row>
    <row r="56" spans="1:5" ht="13.5" thickBot="1" x14ac:dyDescent="0.25">
      <c r="A56" s="55" t="str">
        <f>IB_5.2.sz.mell!A56</f>
        <v>13</v>
      </c>
      <c r="B56" s="61" t="str">
        <f>IB_5.2.sz.mell!B56</f>
        <v>KIADÁSOK ÖSSZESEN: (7+12)</v>
      </c>
      <c r="C56" s="292">
        <f>C55+C50+C44</f>
        <v>21804000</v>
      </c>
      <c r="D56" s="293">
        <f>D55+D50+D44</f>
        <v>21804000</v>
      </c>
      <c r="E56" s="101">
        <f>E55+E50+E44</f>
        <v>9378096</v>
      </c>
    </row>
    <row r="57" spans="1:5" ht="15.2" customHeight="1" thickBot="1" x14ac:dyDescent="0.25">
      <c r="C57" s="192">
        <f>C42-C56</f>
        <v>0</v>
      </c>
      <c r="D57" s="192">
        <f>D42-D56</f>
        <v>0</v>
      </c>
      <c r="E57" s="192">
        <f>E42-E56</f>
        <v>743750</v>
      </c>
    </row>
    <row r="58" spans="1:5" ht="14.45" customHeight="1" thickBot="1" x14ac:dyDescent="0.25">
      <c r="A58" s="63" t="s">
        <v>287</v>
      </c>
      <c r="B58" s="64"/>
      <c r="C58" s="298"/>
      <c r="D58" s="298"/>
      <c r="E58" s="284"/>
    </row>
    <row r="59" spans="1:5" ht="13.5" thickBot="1" x14ac:dyDescent="0.25">
      <c r="A59" s="285" t="s">
        <v>288</v>
      </c>
      <c r="B59" s="286"/>
      <c r="C59" s="298"/>
      <c r="D59" s="298"/>
      <c r="E59" s="284"/>
    </row>
  </sheetData>
  <sheetProtection formatCells="0"/>
  <mergeCells count="5">
    <mergeCell ref="B1:E1"/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3"/>
  <sheetViews>
    <sheetView topLeftCell="A10" zoomScale="120" zoomScaleNormal="120" zoomScaleSheetLayoutView="100" workbookViewId="0">
      <selection activeCell="D19" sqref="D19"/>
    </sheetView>
  </sheetViews>
  <sheetFormatPr defaultRowHeight="15.75" x14ac:dyDescent="0.25"/>
  <cols>
    <col min="1" max="1" width="9.5" style="106" customWidth="1"/>
    <col min="2" max="2" width="65.83203125" style="106" customWidth="1"/>
    <col min="3" max="3" width="17.83203125" style="107" customWidth="1"/>
    <col min="4" max="11" width="17.83203125" style="106" customWidth="1"/>
    <col min="12" max="16384" width="9.33203125" style="106"/>
  </cols>
  <sheetData>
    <row r="1" spans="1:11" x14ac:dyDescent="0.25">
      <c r="A1" s="194"/>
      <c r="B1" s="537"/>
      <c r="C1" s="538"/>
      <c r="D1" s="538"/>
      <c r="E1" s="538"/>
    </row>
    <row r="2" spans="1:11" x14ac:dyDescent="0.25">
      <c r="A2" s="564" t="s">
        <v>373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</row>
    <row r="3" spans="1:11" x14ac:dyDescent="0.25">
      <c r="A3" s="564" t="s">
        <v>376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</row>
    <row r="4" spans="1:11" ht="12" customHeight="1" x14ac:dyDescent="0.25">
      <c r="A4" s="539"/>
      <c r="B4" s="539"/>
      <c r="C4" s="541"/>
      <c r="D4" s="539"/>
      <c r="E4" s="539"/>
    </row>
    <row r="5" spans="1:11" x14ac:dyDescent="0.25">
      <c r="A5" s="194"/>
      <c r="B5" s="194"/>
      <c r="C5" s="195"/>
      <c r="D5" s="194"/>
      <c r="E5" s="194"/>
    </row>
    <row r="6" spans="1:11" ht="15.95" customHeight="1" x14ac:dyDescent="0.25">
      <c r="A6" s="542" t="s">
        <v>4</v>
      </c>
      <c r="B6" s="542"/>
      <c r="C6" s="542"/>
      <c r="D6" s="542"/>
      <c r="E6" s="542"/>
      <c r="F6" s="542"/>
      <c r="G6" s="542"/>
      <c r="H6" s="542"/>
      <c r="I6" s="542"/>
      <c r="J6" s="542"/>
      <c r="K6" s="542"/>
    </row>
    <row r="7" spans="1:11" ht="15.95" customHeight="1" thickBot="1" x14ac:dyDescent="0.3">
      <c r="A7" s="525"/>
      <c r="B7" s="525"/>
      <c r="C7" s="208"/>
      <c r="D7" s="194"/>
      <c r="E7" s="208"/>
      <c r="K7" s="355" t="s">
        <v>205</v>
      </c>
    </row>
    <row r="8" spans="1:11" x14ac:dyDescent="0.25">
      <c r="A8" s="528" t="s">
        <v>44</v>
      </c>
      <c r="B8" s="530" t="s">
        <v>5</v>
      </c>
      <c r="C8" s="559" t="str">
        <f>+CONCATENATE(LEFT(IB_ÖSSZEFÜGGÉSEK!A6,4),". évi")</f>
        <v>2024. évi</v>
      </c>
      <c r="D8" s="560"/>
      <c r="E8" s="560"/>
      <c r="F8" s="560"/>
      <c r="G8" s="560"/>
      <c r="H8" s="560"/>
      <c r="I8" s="560"/>
      <c r="J8" s="560"/>
      <c r="K8" s="561"/>
    </row>
    <row r="9" spans="1:11" ht="48.75" thickBot="1" x14ac:dyDescent="0.3">
      <c r="A9" s="529"/>
      <c r="B9" s="531"/>
      <c r="C9" s="245" t="s">
        <v>435</v>
      </c>
      <c r="D9" s="245" t="s">
        <v>436</v>
      </c>
      <c r="E9" s="247" t="s">
        <v>374</v>
      </c>
      <c r="F9" s="245" t="s">
        <v>452</v>
      </c>
      <c r="G9" s="245" t="s">
        <v>451</v>
      </c>
      <c r="H9" s="247" t="s">
        <v>374</v>
      </c>
      <c r="I9" s="245" t="s">
        <v>453</v>
      </c>
      <c r="J9" s="245" t="s">
        <v>454</v>
      </c>
      <c r="K9" s="247" t="s">
        <v>374</v>
      </c>
    </row>
    <row r="10" spans="1:11" s="125" customFormat="1" ht="12" customHeight="1" thickBot="1" x14ac:dyDescent="0.25">
      <c r="A10" s="122" t="s">
        <v>190</v>
      </c>
      <c r="B10" s="123" t="s">
        <v>191</v>
      </c>
      <c r="C10" s="123" t="s">
        <v>192</v>
      </c>
      <c r="D10" s="123" t="s">
        <v>194</v>
      </c>
      <c r="E10" s="248" t="s">
        <v>193</v>
      </c>
      <c r="F10" s="123" t="s">
        <v>195</v>
      </c>
      <c r="G10" s="123" t="s">
        <v>196</v>
      </c>
      <c r="H10" s="248" t="s">
        <v>197</v>
      </c>
      <c r="I10" s="123" t="s">
        <v>259</v>
      </c>
      <c r="J10" s="123" t="s">
        <v>455</v>
      </c>
      <c r="K10" s="248" t="s">
        <v>456</v>
      </c>
    </row>
    <row r="11" spans="1:11" s="126" customFormat="1" ht="12" customHeight="1" thickBot="1" x14ac:dyDescent="0.25">
      <c r="A11" s="18">
        <v>1</v>
      </c>
      <c r="B11" s="13" t="str">
        <f>IB_1.1.sz.mell.!B11</f>
        <v>Működési célú támogatások államháztartáson belülről (10+…+11+…+14)</v>
      </c>
      <c r="C11" s="115">
        <f>C20+C21+C22+C23+C24</f>
        <v>977149334</v>
      </c>
      <c r="D11" s="115" t="e">
        <f>D20+D21+D22+D23+D24</f>
        <v>#REF!</v>
      </c>
      <c r="E11" s="66" t="e">
        <f>D11-C11</f>
        <v>#REF!</v>
      </c>
      <c r="F11" s="115">
        <f>F20+F21+F22+F23+F24</f>
        <v>1012703032</v>
      </c>
      <c r="G11" s="115" t="e">
        <f>G20+G21+G22+G23+G24</f>
        <v>#REF!</v>
      </c>
      <c r="H11" s="66" t="e">
        <f>G11-F11</f>
        <v>#REF!</v>
      </c>
      <c r="I11" s="115">
        <f>I20+I21+I22+I23+I24</f>
        <v>566625017</v>
      </c>
      <c r="J11" s="115" t="e">
        <f>J20+J21+J22+J23+J24</f>
        <v>#REF!</v>
      </c>
      <c r="K11" s="66" t="e">
        <f>J11-I11</f>
        <v>#REF!</v>
      </c>
    </row>
    <row r="12" spans="1:11" s="126" customFormat="1" ht="12" customHeight="1" x14ac:dyDescent="0.2">
      <c r="A12" s="134" t="s">
        <v>293</v>
      </c>
      <c r="B12" s="127" t="str">
        <f>IB_1.1.sz.mell.!B12</f>
        <v>Helyi önkormányzatok működésének általános támogatása</v>
      </c>
      <c r="C12" s="209">
        <f>IB_1.1.sz.mell.!C12</f>
        <v>232331548</v>
      </c>
      <c r="D12" s="209">
        <f>IB_5.1.sz.mell!C9</f>
        <v>232331548</v>
      </c>
      <c r="E12" s="68">
        <f t="shared" ref="E12:E24" si="0">D12-C12</f>
        <v>0</v>
      </c>
      <c r="F12" s="209">
        <f>IB_1.1.sz.mell.!D12</f>
        <v>232331548</v>
      </c>
      <c r="G12" s="209">
        <f>IB_5.1.sz.mell!D9</f>
        <v>232331548</v>
      </c>
      <c r="H12" s="68">
        <f t="shared" ref="H12:H24" si="1">G12-F12</f>
        <v>0</v>
      </c>
      <c r="I12" s="209">
        <f>IB_1.1.sz.mell.!E12</f>
        <v>120812406</v>
      </c>
      <c r="J12" s="209">
        <f>IB_5.1.sz.mell!E9</f>
        <v>120812406</v>
      </c>
      <c r="K12" s="68">
        <f>J12-I12</f>
        <v>0</v>
      </c>
    </row>
    <row r="13" spans="1:11" s="126" customFormat="1" ht="12" customHeight="1" x14ac:dyDescent="0.2">
      <c r="A13" s="134" t="s">
        <v>294</v>
      </c>
      <c r="B13" s="128" t="str">
        <f>IB_1.1.sz.mell.!B13</f>
        <v>Önkormányzatok egyes köznevelési feladatainak támogatása</v>
      </c>
      <c r="C13" s="215">
        <f>IB_1.1.sz.mell.!C13</f>
        <v>348088510</v>
      </c>
      <c r="D13" s="215">
        <f>IB_5.1.sz.mell!C10</f>
        <v>348088510</v>
      </c>
      <c r="E13" s="67">
        <f t="shared" si="0"/>
        <v>0</v>
      </c>
      <c r="F13" s="215">
        <f>IB_1.1.sz.mell.!D13</f>
        <v>348088510</v>
      </c>
      <c r="G13" s="215">
        <f>IB_5.1.sz.mell!D10</f>
        <v>348088510</v>
      </c>
      <c r="H13" s="67">
        <f t="shared" si="1"/>
        <v>0</v>
      </c>
      <c r="I13" s="215">
        <f>IB_1.1.sz.mell.!E13</f>
        <v>182976170</v>
      </c>
      <c r="J13" s="215">
        <f>IB_5.1.sz.mell!E10</f>
        <v>182976170</v>
      </c>
      <c r="K13" s="67">
        <f t="shared" ref="K13:K24" si="2">J13-I13</f>
        <v>0</v>
      </c>
    </row>
    <row r="14" spans="1:11" s="126" customFormat="1" ht="12" customHeight="1" x14ac:dyDescent="0.2">
      <c r="A14" s="134" t="s">
        <v>295</v>
      </c>
      <c r="B14" s="128" t="str">
        <f>IB_1.1.sz.mell.!B14</f>
        <v>Önkormányzatok szociális és gyermekjóléti feladatainak támogatása</v>
      </c>
      <c r="C14" s="215">
        <f>IB_1.1.sz.mell.!C14</f>
        <v>125297160</v>
      </c>
      <c r="D14" s="215">
        <f>IB_5.1.sz.mell!C11</f>
        <v>125297160</v>
      </c>
      <c r="E14" s="67">
        <f t="shared" si="0"/>
        <v>0</v>
      </c>
      <c r="F14" s="215">
        <f>IB_1.1.sz.mell.!D14</f>
        <v>125297160</v>
      </c>
      <c r="G14" s="215">
        <f>IB_5.1.sz.mell!D11</f>
        <v>125297160</v>
      </c>
      <c r="H14" s="67">
        <f t="shared" si="1"/>
        <v>0</v>
      </c>
      <c r="I14" s="215">
        <f>IB_1.1.sz.mell.!E14</f>
        <v>72675807</v>
      </c>
      <c r="J14" s="215">
        <f>IB_5.1.sz.mell!E11</f>
        <v>72675807</v>
      </c>
      <c r="K14" s="67">
        <f t="shared" si="2"/>
        <v>0</v>
      </c>
    </row>
    <row r="15" spans="1:11" s="126" customFormat="1" ht="12" customHeight="1" x14ac:dyDescent="0.2">
      <c r="A15" s="134" t="s">
        <v>296</v>
      </c>
      <c r="B15" s="128" t="str">
        <f>IB_1.1.sz.mell.!B15</f>
        <v>Önkormányzatok gyermekétkeztetési feladatainak támogatása</v>
      </c>
      <c r="C15" s="215">
        <f>IB_1.1.sz.mell.!C15</f>
        <v>127035522</v>
      </c>
      <c r="D15" s="215">
        <f>IB_5.1.sz.mell!C12</f>
        <v>127035522</v>
      </c>
      <c r="E15" s="67">
        <f t="shared" si="0"/>
        <v>0</v>
      </c>
      <c r="F15" s="215">
        <f>IB_1.1.sz.mell.!D15</f>
        <v>127035522</v>
      </c>
      <c r="G15" s="215">
        <f>IB_5.1.sz.mell!D12</f>
        <v>127035522</v>
      </c>
      <c r="H15" s="67">
        <f t="shared" si="1"/>
        <v>0</v>
      </c>
      <c r="I15" s="215">
        <f>IB_1.1.sz.mell.!E15</f>
        <v>66058473</v>
      </c>
      <c r="J15" s="215">
        <f>IB_5.1.sz.mell!E12</f>
        <v>66058473</v>
      </c>
      <c r="K15" s="67">
        <f t="shared" si="2"/>
        <v>0</v>
      </c>
    </row>
    <row r="16" spans="1:11" s="126" customFormat="1" ht="12" customHeight="1" x14ac:dyDescent="0.2">
      <c r="A16" s="134" t="s">
        <v>297</v>
      </c>
      <c r="B16" s="74" t="str">
        <f>IB_1.1.sz.mell.!B16</f>
        <v>Önkormányzatok kulturális feladatainak támogatása</v>
      </c>
      <c r="C16" s="215">
        <f>IB_1.1.sz.mell.!C16</f>
        <v>17987540</v>
      </c>
      <c r="D16" s="215">
        <f>IB_5.1.sz.mell!C13</f>
        <v>17987540</v>
      </c>
      <c r="E16" s="67">
        <f t="shared" si="0"/>
        <v>0</v>
      </c>
      <c r="F16" s="215">
        <f>IB_1.1.sz.mell.!D16</f>
        <v>17987540</v>
      </c>
      <c r="G16" s="215">
        <f>IB_5.1.sz.mell!D13</f>
        <v>17987540</v>
      </c>
      <c r="H16" s="67">
        <f t="shared" si="1"/>
        <v>0</v>
      </c>
      <c r="I16" s="215">
        <f>IB_1.1.sz.mell.!E16</f>
        <v>9353519</v>
      </c>
      <c r="J16" s="215">
        <f>IB_5.1.sz.mell!E13</f>
        <v>9353519</v>
      </c>
      <c r="K16" s="67">
        <f t="shared" si="2"/>
        <v>0</v>
      </c>
    </row>
    <row r="17" spans="1:11" s="126" customFormat="1" ht="12" customHeight="1" x14ac:dyDescent="0.2">
      <c r="A17" s="134" t="s">
        <v>298</v>
      </c>
      <c r="B17" s="75" t="str">
        <f>IB_1.1.sz.mell.!B17</f>
        <v xml:space="preserve">Működési célú kvi támogatások és kiegészítő támogatások </v>
      </c>
      <c r="C17" s="217">
        <f>IB_1.1.sz.mell.!C17</f>
        <v>0</v>
      </c>
      <c r="D17" s="217">
        <f>IB_5.1.sz.mell!C14</f>
        <v>0</v>
      </c>
      <c r="E17" s="69">
        <f t="shared" si="0"/>
        <v>0</v>
      </c>
      <c r="F17" s="217">
        <f>IB_1.1.sz.mell.!D17</f>
        <v>0</v>
      </c>
      <c r="G17" s="217">
        <f>IB_5.1.sz.mell!D14</f>
        <v>0</v>
      </c>
      <c r="H17" s="69">
        <f t="shared" si="1"/>
        <v>0</v>
      </c>
      <c r="I17" s="217">
        <f>IB_1.1.sz.mell.!E17</f>
        <v>0</v>
      </c>
      <c r="J17" s="217">
        <f>IB_5.1.sz.mell!E14</f>
        <v>0</v>
      </c>
      <c r="K17" s="69">
        <f t="shared" si="2"/>
        <v>0</v>
      </c>
    </row>
    <row r="18" spans="1:11" s="126" customFormat="1" ht="12" customHeight="1" x14ac:dyDescent="0.2">
      <c r="A18" s="134" t="s">
        <v>314</v>
      </c>
      <c r="B18" s="74" t="str">
        <f>IB_1.1.sz.mell.!B18</f>
        <v>Elszámolásból származó bevételek</v>
      </c>
      <c r="C18" s="215">
        <f>IB_1.1.sz.mell.!C18</f>
        <v>0</v>
      </c>
      <c r="D18" s="215">
        <f>IB_5.1.sz.mell!C15</f>
        <v>0</v>
      </c>
      <c r="E18" s="216">
        <f t="shared" si="0"/>
        <v>0</v>
      </c>
      <c r="F18" s="215">
        <f>IB_1.1.sz.mell.!D18</f>
        <v>2056856</v>
      </c>
      <c r="G18" s="215">
        <f>IB_5.1.sz.mell!D15</f>
        <v>2056856</v>
      </c>
      <c r="H18" s="216">
        <f t="shared" si="1"/>
        <v>0</v>
      </c>
      <c r="I18" s="215">
        <f>IB_1.1.sz.mell.!E18</f>
        <v>2056856</v>
      </c>
      <c r="J18" s="215">
        <f>IB_5.1.sz.mell!E15</f>
        <v>2056856</v>
      </c>
      <c r="K18" s="216">
        <f t="shared" si="2"/>
        <v>0</v>
      </c>
    </row>
    <row r="19" spans="1:11" s="126" customFormat="1" ht="12" customHeight="1" x14ac:dyDescent="0.2">
      <c r="A19" s="134" t="s">
        <v>292</v>
      </c>
      <c r="B19" s="127" t="str">
        <f>IB_1.1.sz.mell.!B19</f>
        <v>Elvonások és befizetések bevételei</v>
      </c>
      <c r="C19" s="209">
        <f>IB_1.1.sz.mell.!C19</f>
        <v>0</v>
      </c>
      <c r="D19" s="209" t="e">
        <f>IB_5.1.sz.mell!C16+IB_5.2.sz.mell!C21+IB_5.3.sz.mell!C21+#REF!+#REF!+#REF!+#REF!+#REF!+#REF!+#REF!+#REF!+#REF!</f>
        <v>#REF!</v>
      </c>
      <c r="E19" s="68" t="e">
        <f t="shared" si="0"/>
        <v>#REF!</v>
      </c>
      <c r="F19" s="209">
        <f>IB_1.1.sz.mell.!D19</f>
        <v>0</v>
      </c>
      <c r="G19" s="209" t="e">
        <f>IB_5.1.sz.mell!D16+IB_5.2.sz.mell!D21+IB_5.3.sz.mell!D21+#REF!+#REF!+#REF!+#REF!+#REF!+#REF!+#REF!+#REF!+#REF!</f>
        <v>#REF!</v>
      </c>
      <c r="H19" s="68" t="e">
        <f t="shared" si="1"/>
        <v>#REF!</v>
      </c>
      <c r="I19" s="209">
        <f>IB_1.1.sz.mell.!E19</f>
        <v>0</v>
      </c>
      <c r="J19" s="209" t="e">
        <f>IB_5.1.sz.mell!E16+IB_5.2.sz.mell!E21+IB_5.3.sz.mell!E21+#REF!+#REF!+#REF!+#REF!+#REF!+#REF!+#REF!+#REF!+#REF!</f>
        <v>#REF!</v>
      </c>
      <c r="K19" s="68" t="e">
        <f t="shared" si="2"/>
        <v>#REF!</v>
      </c>
    </row>
    <row r="20" spans="1:11" s="126" customFormat="1" ht="12" customHeight="1" x14ac:dyDescent="0.2">
      <c r="A20" s="134" t="s">
        <v>234</v>
      </c>
      <c r="B20" s="329" t="str">
        <f>IB_1.1.sz.mell.!B20</f>
        <v>Önkormányzat működési támogatásai (2+…+.9)</v>
      </c>
      <c r="C20" s="209">
        <f>SUM(C12:C19)</f>
        <v>850740280</v>
      </c>
      <c r="D20" s="209" t="e">
        <f>SUM(D12:D19)</f>
        <v>#REF!</v>
      </c>
      <c r="E20" s="68" t="e">
        <f t="shared" si="0"/>
        <v>#REF!</v>
      </c>
      <c r="F20" s="209">
        <f>IB_1.1.sz.mell.!D20</f>
        <v>852797136</v>
      </c>
      <c r="G20" s="209" t="e">
        <f>SUM(G12:G19)</f>
        <v>#REF!</v>
      </c>
      <c r="H20" s="68" t="e">
        <f t="shared" si="1"/>
        <v>#REF!</v>
      </c>
      <c r="I20" s="209">
        <f>SUM(I12:I19)</f>
        <v>453933231</v>
      </c>
      <c r="J20" s="209" t="e">
        <f>SUM(J12:J19)</f>
        <v>#REF!</v>
      </c>
      <c r="K20" s="68" t="e">
        <f t="shared" si="2"/>
        <v>#REF!</v>
      </c>
    </row>
    <row r="21" spans="1:11" s="126" customFormat="1" ht="12" customHeight="1" x14ac:dyDescent="0.2">
      <c r="A21" s="134" t="s">
        <v>235</v>
      </c>
      <c r="B21" s="128" t="str">
        <f>IB_1.1.sz.mell.!B21</f>
        <v xml:space="preserve">Működési célú garancia- és kezességvállalásból megtérülések </v>
      </c>
      <c r="C21" s="209">
        <f>IB_1.1.sz.mell.!C21</f>
        <v>0</v>
      </c>
      <c r="D21" s="209">
        <f>IB_5.1.sz.mell!C18</f>
        <v>0</v>
      </c>
      <c r="E21" s="68">
        <f t="shared" si="0"/>
        <v>0</v>
      </c>
      <c r="F21" s="209">
        <f>IB_1.1.sz.mell.!D21</f>
        <v>0</v>
      </c>
      <c r="G21" s="209">
        <f>IB_5.1.sz.mell!D18</f>
        <v>0</v>
      </c>
      <c r="H21" s="68">
        <f t="shared" si="1"/>
        <v>0</v>
      </c>
      <c r="I21" s="209">
        <f>IB_1.1.sz.mell.!E21</f>
        <v>0</v>
      </c>
      <c r="J21" s="209">
        <f>IB_5.1.sz.mell!E18</f>
        <v>0</v>
      </c>
      <c r="K21" s="68">
        <f t="shared" si="2"/>
        <v>0</v>
      </c>
    </row>
    <row r="22" spans="1:11" s="126" customFormat="1" ht="12" customHeight="1" x14ac:dyDescent="0.2">
      <c r="A22" s="134" t="s">
        <v>236</v>
      </c>
      <c r="B22" s="128" t="str">
        <f>IB_1.1.sz.mell.!B22</f>
        <v xml:space="preserve">Működési célú visszatérítendő támogatások, kölcsönök visszatérülése </v>
      </c>
      <c r="C22" s="209">
        <f>IB_1.1.sz.mell.!C22</f>
        <v>0</v>
      </c>
      <c r="D22" s="209" t="e">
        <f>IB_5.1.sz.mell!C19+IB_5.2.sz.mell!C22+IB_5.3.sz.mell!C22+#REF!+#REF!+#REF!+#REF!+#REF!+#REF!+#REF!+#REF!+#REF!</f>
        <v>#REF!</v>
      </c>
      <c r="E22" s="68" t="e">
        <f t="shared" si="0"/>
        <v>#REF!</v>
      </c>
      <c r="F22" s="209">
        <f>IB_1.1.sz.mell.!D22</f>
        <v>0</v>
      </c>
      <c r="G22" s="209" t="e">
        <f>IB_5.1.sz.mell!D19+IB_5.2.sz.mell!D22+IB_5.3.sz.mell!D22+#REF!+#REF!+#REF!+#REF!+#REF!+#REF!+#REF!+#REF!+#REF!</f>
        <v>#REF!</v>
      </c>
      <c r="H22" s="68" t="e">
        <f t="shared" si="1"/>
        <v>#REF!</v>
      </c>
      <c r="I22" s="209">
        <f>IB_1.1.sz.mell.!E22</f>
        <v>0</v>
      </c>
      <c r="J22" s="209" t="e">
        <f>IB_5.1.sz.mell!E19+IB_5.2.sz.mell!E22+IB_5.3.sz.mell!E22+#REF!+#REF!+#REF!+#REF!+#REF!+#REF!+#REF!+#REF!+#REF!</f>
        <v>#REF!</v>
      </c>
      <c r="K22" s="68" t="e">
        <f t="shared" si="2"/>
        <v>#REF!</v>
      </c>
    </row>
    <row r="23" spans="1:11" s="126" customFormat="1" ht="12" customHeight="1" x14ac:dyDescent="0.2">
      <c r="A23" s="134" t="s">
        <v>299</v>
      </c>
      <c r="B23" s="128" t="str">
        <f>IB_1.1.sz.mell.!B23</f>
        <v>Működési célú visszatérítendő támogatások, kölcsönök igénybevétele</v>
      </c>
      <c r="C23" s="209">
        <f>IB_1.1.sz.mell.!C23</f>
        <v>0</v>
      </c>
      <c r="D23" s="209">
        <f>IB_5.1.sz.mell!C20</f>
        <v>0</v>
      </c>
      <c r="E23" s="68">
        <f t="shared" si="0"/>
        <v>0</v>
      </c>
      <c r="F23" s="209">
        <f>IB_1.1.sz.mell.!D23</f>
        <v>0</v>
      </c>
      <c r="G23" s="209">
        <f>IB_5.1.sz.mell!D20</f>
        <v>0</v>
      </c>
      <c r="H23" s="68">
        <f t="shared" si="1"/>
        <v>0</v>
      </c>
      <c r="I23" s="209">
        <f>IB_1.1.sz.mell.!E23</f>
        <v>0</v>
      </c>
      <c r="J23" s="209">
        <f>IB_5.1.sz.mell!E20</f>
        <v>0</v>
      </c>
      <c r="K23" s="68">
        <f t="shared" si="2"/>
        <v>0</v>
      </c>
    </row>
    <row r="24" spans="1:11" s="126" customFormat="1" ht="12" customHeight="1" x14ac:dyDescent="0.2">
      <c r="A24" s="134" t="s">
        <v>300</v>
      </c>
      <c r="B24" s="128" t="str">
        <f>IB_1.1.sz.mell.!B24</f>
        <v xml:space="preserve">Egyéb működési célú támogatások bevételei </v>
      </c>
      <c r="C24" s="209">
        <f>IB_1.1.sz.mell.!C24</f>
        <v>126409054</v>
      </c>
      <c r="D24" s="209" t="e">
        <f>IB_5.1.sz.mell!C21+IB_5.2.sz.mell!C23+IB_5.3.sz.mell!C23+#REF!+#REF!+#REF!+#REF!+#REF!+#REF!+#REF!+#REF!+#REF!</f>
        <v>#REF!</v>
      </c>
      <c r="E24" s="68" t="e">
        <f t="shared" si="0"/>
        <v>#REF!</v>
      </c>
      <c r="F24" s="209">
        <f>IB_1.1.sz.mell.!D24</f>
        <v>159905896</v>
      </c>
      <c r="G24" s="209" t="e">
        <f>IB_5.1.sz.mell!D21+IB_5.2.sz.mell!D23+IB_5.3.sz.mell!D23+#REF!+#REF!+#REF!+#REF!+#REF!+#REF!+#REF!+#REF!+#REF!</f>
        <v>#REF!</v>
      </c>
      <c r="H24" s="68" t="e">
        <f t="shared" si="1"/>
        <v>#REF!</v>
      </c>
      <c r="I24" s="209">
        <f>IB_1.1.sz.mell.!E24</f>
        <v>112691786</v>
      </c>
      <c r="J24" s="209" t="e">
        <f>IB_5.1.sz.mell!E21+IB_5.2.sz.mell!E23+IB_5.3.sz.mell!E23+#REF!+#REF!+#REF!+#REF!+#REF!+#REF!+#REF!+#REF!+#REF!</f>
        <v>#REF!</v>
      </c>
      <c r="K24" s="68" t="e">
        <f t="shared" si="2"/>
        <v>#REF!</v>
      </c>
    </row>
    <row r="25" spans="1:11" s="126" customFormat="1" ht="12" customHeight="1" thickBot="1" x14ac:dyDescent="0.25">
      <c r="A25" s="134" t="s">
        <v>315</v>
      </c>
      <c r="B25" s="75" t="str">
        <f>IB_1.1.sz.mell.!B25</f>
        <v>14-ből EU-s támogatás</v>
      </c>
      <c r="C25" s="217">
        <f>IB_1.1.sz.mell.!C25</f>
        <v>0</v>
      </c>
      <c r="D25" s="209" t="e">
        <f>IB_5.1.sz.mell!C22+IB_5.2.sz.mell!C24+IB_5.3.sz.mell!C24+#REF!+#REF!+#REF!+#REF!+#REF!+#REF!+#REF!+#REF!+#REF!</f>
        <v>#REF!</v>
      </c>
      <c r="E25" s="69" t="e">
        <f>D25-C25</f>
        <v>#REF!</v>
      </c>
      <c r="F25" s="217">
        <f>IB_1.1.sz.mell.!D25</f>
        <v>0</v>
      </c>
      <c r="G25" s="209" t="e">
        <f>IB_5.1.sz.mell!D22+IB_5.2.sz.mell!D24+IB_5.3.sz.mell!D24+#REF!+#REF!+#REF!+#REF!+#REF!+#REF!+#REF!+#REF!+#REF!</f>
        <v>#REF!</v>
      </c>
      <c r="H25" s="69" t="e">
        <f>G25-F25</f>
        <v>#REF!</v>
      </c>
      <c r="I25" s="217">
        <f>IB_1.1.sz.mell.!E25</f>
        <v>0</v>
      </c>
      <c r="J25" s="209" t="e">
        <f>IB_5.1.sz.mell!E22+IB_5.2.sz.mell!E24+IB_5.3.sz.mell!E24+#REF!+#REF!+#REF!+#REF!+#REF!+#REF!+#REF!+#REF!+#REF!</f>
        <v>#REF!</v>
      </c>
      <c r="K25" s="69" t="e">
        <f>J25-I25</f>
        <v>#REF!</v>
      </c>
    </row>
    <row r="26" spans="1:11" s="126" customFormat="1" ht="12" customHeight="1" thickBot="1" x14ac:dyDescent="0.25">
      <c r="A26" s="18">
        <f>IB_1.1.sz.mell.!A26</f>
        <v>16</v>
      </c>
      <c r="B26" s="13" t="str">
        <f>IB_1.1.sz.mell.!B26</f>
        <v>Felhalmozási célú támogatások államháztartáson belülről (17+…+21)</v>
      </c>
      <c r="C26" s="115">
        <f>SUM(C27:C31)</f>
        <v>18831116</v>
      </c>
      <c r="D26" s="115" t="e">
        <f>SUM(D27:D31)</f>
        <v>#REF!</v>
      </c>
      <c r="E26" s="66" t="e">
        <f t="shared" ref="E26:E89" si="3">D26-C26</f>
        <v>#REF!</v>
      </c>
      <c r="F26" s="115">
        <f>SUM(F27:F31)</f>
        <v>18831116</v>
      </c>
      <c r="G26" s="115" t="e">
        <f>SUM(G27:G31)</f>
        <v>#REF!</v>
      </c>
      <c r="H26" s="66" t="e">
        <f t="shared" ref="H26:H81" si="4">G26-F26</f>
        <v>#REF!</v>
      </c>
      <c r="I26" s="115">
        <f>SUM(I27:I31)</f>
        <v>6225000</v>
      </c>
      <c r="J26" s="115" t="e">
        <f>SUM(J27:J31)</f>
        <v>#REF!</v>
      </c>
      <c r="K26" s="66" t="e">
        <f t="shared" ref="K26:K81" si="5">J26-I26</f>
        <v>#REF!</v>
      </c>
    </row>
    <row r="27" spans="1:11" s="126" customFormat="1" ht="12" customHeight="1" x14ac:dyDescent="0.2">
      <c r="A27" s="134" t="str">
        <f>IB_1.1.sz.mell.!A27</f>
        <v>17</v>
      </c>
      <c r="B27" s="127" t="str">
        <f>IB_1.1.sz.mell.!B27</f>
        <v>Felhalmozási célú önkormányzati támogatások</v>
      </c>
      <c r="C27" s="209">
        <f>IB_1.1.sz.mell.!C27</f>
        <v>6225000</v>
      </c>
      <c r="D27" s="209" t="e">
        <f>IB_5.1.sz.mell!C24+IB_5.2.sz.mell!C27+IB_5.3.sz.mell!C27+#REF!+#REF!+#REF!+#REF!+#REF!+#REF!+#REF!+#REF!+#REF!</f>
        <v>#REF!</v>
      </c>
      <c r="E27" s="68" t="e">
        <f t="shared" si="3"/>
        <v>#REF!</v>
      </c>
      <c r="F27" s="209">
        <f>IB_1.1.sz.mell.!D27</f>
        <v>6225000</v>
      </c>
      <c r="G27" s="209" t="e">
        <f>IB_5.1.sz.mell!D24+IB_5.2.sz.mell!D27+IB_5.3.sz.mell!D27+#REF!+#REF!+#REF!+#REF!+#REF!+#REF!+#REF!+#REF!+#REF!</f>
        <v>#REF!</v>
      </c>
      <c r="H27" s="68" t="e">
        <f t="shared" si="4"/>
        <v>#REF!</v>
      </c>
      <c r="I27" s="209">
        <f>IB_1.1.sz.mell.!E27</f>
        <v>6225000</v>
      </c>
      <c r="J27" s="209" t="e">
        <f>IB_5.1.sz.mell!E24+IB_5.2.sz.mell!E27+IB_5.3.sz.mell!E27+#REF!+#REF!+#REF!+#REF!+#REF!+#REF!+#REF!+#REF!+#REF!</f>
        <v>#REF!</v>
      </c>
      <c r="K27" s="68" t="e">
        <f t="shared" si="5"/>
        <v>#REF!</v>
      </c>
    </row>
    <row r="28" spans="1:11" s="126" customFormat="1" ht="12" customHeight="1" x14ac:dyDescent="0.2">
      <c r="A28" s="135" t="str">
        <f>IB_1.1.sz.mell.!A28</f>
        <v>18</v>
      </c>
      <c r="B28" s="128" t="str">
        <f>IB_1.1.sz.mell.!B28</f>
        <v>Felhalmozási célú garancia- és kezességvállalásból megtérülések</v>
      </c>
      <c r="C28" s="215">
        <f>IB_1.1.sz.mell.!C28</f>
        <v>0</v>
      </c>
      <c r="D28" s="215">
        <f>IB_5.1.sz.mell!C25</f>
        <v>0</v>
      </c>
      <c r="E28" s="67">
        <f t="shared" si="3"/>
        <v>0</v>
      </c>
      <c r="F28" s="215">
        <f>IB_1.1.sz.mell.!D28</f>
        <v>0</v>
      </c>
      <c r="G28" s="215">
        <f>IB_5.1.sz.mell!D25</f>
        <v>0</v>
      </c>
      <c r="H28" s="67">
        <f t="shared" si="4"/>
        <v>0</v>
      </c>
      <c r="I28" s="215">
        <f>IB_1.1.sz.mell.!E28</f>
        <v>0</v>
      </c>
      <c r="J28" s="215">
        <f>IB_5.1.sz.mell!E25</f>
        <v>0</v>
      </c>
      <c r="K28" s="67">
        <f t="shared" si="5"/>
        <v>0</v>
      </c>
    </row>
    <row r="29" spans="1:11" s="126" customFormat="1" ht="12" customHeight="1" x14ac:dyDescent="0.2">
      <c r="A29" s="135" t="str">
        <f>IB_1.1.sz.mell.!A29</f>
        <v>19</v>
      </c>
      <c r="B29" s="128" t="str">
        <f>IB_1.1.sz.mell.!B29</f>
        <v>Felhalmozási célú visszatérítendő támogatások, kölcsönök visszatérülése</v>
      </c>
      <c r="C29" s="215">
        <f>IB_1.1.sz.mell.!C29</f>
        <v>0</v>
      </c>
      <c r="D29" s="215" t="e">
        <f>IB_5.1.sz.mell!C26+IB_5.2.sz.mell!C28+IB_5.3.sz.mell!C28+#REF!+#REF!+#REF!+#REF!+#REF!+#REF!+#REF!+#REF!+#REF!</f>
        <v>#REF!</v>
      </c>
      <c r="E29" s="67" t="e">
        <f t="shared" si="3"/>
        <v>#REF!</v>
      </c>
      <c r="F29" s="215">
        <f>IB_1.1.sz.mell.!D29</f>
        <v>0</v>
      </c>
      <c r="G29" s="215" t="e">
        <f>IB_5.1.sz.mell!D26+IB_5.2.sz.mell!D28+IB_5.3.sz.mell!D28+#REF!+#REF!+#REF!+#REF!+#REF!+#REF!+#REF!+#REF!+#REF!</f>
        <v>#REF!</v>
      </c>
      <c r="H29" s="67" t="e">
        <f t="shared" si="4"/>
        <v>#REF!</v>
      </c>
      <c r="I29" s="215">
        <f>IB_1.1.sz.mell.!E29</f>
        <v>0</v>
      </c>
      <c r="J29" s="215">
        <f>IB_5.1.sz.mell!E26</f>
        <v>0</v>
      </c>
      <c r="K29" s="67">
        <f t="shared" si="5"/>
        <v>0</v>
      </c>
    </row>
    <row r="30" spans="1:11" s="126" customFormat="1" ht="12" customHeight="1" x14ac:dyDescent="0.2">
      <c r="A30" s="135" t="str">
        <f>IB_1.1.sz.mell.!A30</f>
        <v>20</v>
      </c>
      <c r="B30" s="128" t="str">
        <f>IB_1.1.sz.mell.!B30</f>
        <v>Felhalmozási célú visszatérítendő támogatások, kölcsönök igénybevétele</v>
      </c>
      <c r="C30" s="215">
        <f>IB_1.1.sz.mell.!C30</f>
        <v>0</v>
      </c>
      <c r="D30" s="215">
        <f>IB_5.1.sz.mell!C27</f>
        <v>0</v>
      </c>
      <c r="E30" s="67">
        <f t="shared" si="3"/>
        <v>0</v>
      </c>
      <c r="F30" s="215">
        <f>IB_1.1.sz.mell.!D30</f>
        <v>0</v>
      </c>
      <c r="G30" s="215">
        <f>IB_5.1.sz.mell!D27</f>
        <v>0</v>
      </c>
      <c r="H30" s="67">
        <f t="shared" si="4"/>
        <v>0</v>
      </c>
      <c r="I30" s="215">
        <f>IB_1.1.sz.mell.!E30</f>
        <v>0</v>
      </c>
      <c r="J30" s="215">
        <f>IB_5.1.sz.mell!E27</f>
        <v>0</v>
      </c>
      <c r="K30" s="67">
        <f t="shared" si="5"/>
        <v>0</v>
      </c>
    </row>
    <row r="31" spans="1:11" s="126" customFormat="1" ht="12" customHeight="1" x14ac:dyDescent="0.2">
      <c r="A31" s="135" t="str">
        <f>IB_1.1.sz.mell.!A31</f>
        <v>21</v>
      </c>
      <c r="B31" s="128" t="str">
        <f>IB_1.1.sz.mell.!B31</f>
        <v>Egyéb felhalmozási célú támogatások bevételei</v>
      </c>
      <c r="C31" s="215">
        <f>IB_1.1.sz.mell.!C31</f>
        <v>12606116</v>
      </c>
      <c r="D31" s="215" t="e">
        <f>IB_5.1.sz.mell!C28+IB_5.2.sz.mell!C29+IB_5.3.sz.mell!C29+#REF!+#REF!+#REF!+#REF!+#REF!+#REF!+#REF!+#REF!+#REF!</f>
        <v>#REF!</v>
      </c>
      <c r="E31" s="67" t="e">
        <f t="shared" si="3"/>
        <v>#REF!</v>
      </c>
      <c r="F31" s="215">
        <f>IB_1.1.sz.mell.!D31</f>
        <v>12606116</v>
      </c>
      <c r="G31" s="215" t="e">
        <f>IB_5.1.sz.mell!D28+IB_5.2.sz.mell!D29+IB_5.3.sz.mell!D29+#REF!+#REF!+#REF!+#REF!+#REF!+#REF!+#REF!+#REF!+#REF!</f>
        <v>#REF!</v>
      </c>
      <c r="H31" s="67" t="e">
        <f t="shared" si="4"/>
        <v>#REF!</v>
      </c>
      <c r="I31" s="215">
        <f>IB_1.1.sz.mell.!E31</f>
        <v>0</v>
      </c>
      <c r="J31" s="215" t="e">
        <f>IB_5.1.sz.mell!E28+IB_5.2.sz.mell!E29+IB_5.3.sz.mell!E29+#REF!+#REF!+#REF!+#REF!+#REF!+#REF!+#REF!+#REF!+#REF!</f>
        <v>#REF!</v>
      </c>
      <c r="K31" s="67" t="e">
        <f t="shared" si="5"/>
        <v>#REF!</v>
      </c>
    </row>
    <row r="32" spans="1:11" s="126" customFormat="1" ht="12" customHeight="1" thickBot="1" x14ac:dyDescent="0.25">
      <c r="A32" s="136" t="str">
        <f>IB_1.1.sz.mell.!A32</f>
        <v>22</v>
      </c>
      <c r="B32" s="129" t="str">
        <f>IB_1.1.sz.mell.!B32</f>
        <v xml:space="preserve">   21-ből EU-s támogatás</v>
      </c>
      <c r="C32" s="217">
        <f>IB_1.1.sz.mell.!C32</f>
        <v>9806116</v>
      </c>
      <c r="D32" s="215" t="e">
        <f>IB_5.1.sz.mell!C29+IB_5.2.sz.mell!C30+IB_5.3.sz.mell!C30+#REF!+#REF!+#REF!+#REF!+#REF!+#REF!+#REF!+#REF!+#REF!</f>
        <v>#REF!</v>
      </c>
      <c r="E32" s="69" t="e">
        <f t="shared" si="3"/>
        <v>#REF!</v>
      </c>
      <c r="F32" s="217">
        <f>IB_1.1.sz.mell.!D32</f>
        <v>9806116</v>
      </c>
      <c r="G32" s="215" t="e">
        <f>IB_5.1.sz.mell!D29+IB_5.2.sz.mell!D30+IB_5.3.sz.mell!D30+#REF!+#REF!+#REF!+#REF!+#REF!+#REF!+#REF!+#REF!+#REF!</f>
        <v>#REF!</v>
      </c>
      <c r="H32" s="69" t="e">
        <f t="shared" si="4"/>
        <v>#REF!</v>
      </c>
      <c r="I32" s="215">
        <f>IB_1.1.sz.mell.!E32</f>
        <v>0</v>
      </c>
      <c r="J32" s="215" t="e">
        <f>IB_5.1.sz.mell!E29+IB_5.2.sz.mell!E30+IB_5.3.sz.mell!E30+#REF!+#REF!+#REF!+#REF!+#REF!+#REF!+#REF!+#REF!+#REF!</f>
        <v>#REF!</v>
      </c>
      <c r="K32" s="69" t="e">
        <f t="shared" si="5"/>
        <v>#REF!</v>
      </c>
    </row>
    <row r="33" spans="1:11" s="126" customFormat="1" ht="12" customHeight="1" thickBot="1" x14ac:dyDescent="0.25">
      <c r="A33" s="18">
        <f>IB_1.1.sz.mell.!A33</f>
        <v>23</v>
      </c>
      <c r="B33" s="13" t="str">
        <f>IB_1.1.sz.mell.!B33</f>
        <v>Közhatalmi bevételek (24+…+30)</v>
      </c>
      <c r="C33" s="121">
        <f>SUM(C34:C40)</f>
        <v>435000000</v>
      </c>
      <c r="D33" s="121" t="e">
        <f>SUM(D34:D40)+IB_5.2.sz.mell!C25+IB_5.3.sz.mell!C25+#REF!+#REF!+#REF!+#REF!+#REF!+#REF!+#REF!+#REF!+#REF!</f>
        <v>#REF!</v>
      </c>
      <c r="E33" s="146" t="e">
        <f t="shared" si="3"/>
        <v>#REF!</v>
      </c>
      <c r="F33" s="121">
        <f>SUM(F34:F40)</f>
        <v>435000000</v>
      </c>
      <c r="G33" s="121" t="e">
        <f>SUM(G34:G40)+IB_5.2.sz.mell!D25+IB_5.3.sz.mell!D25+#REF!+#REF!+#REF!+#REF!+#REF!+#REF!+#REF!+#REF!+#REF!</f>
        <v>#REF!</v>
      </c>
      <c r="H33" s="146" t="e">
        <f t="shared" si="4"/>
        <v>#REF!</v>
      </c>
      <c r="I33" s="121">
        <f>SUM(I34:I40)</f>
        <v>210536735</v>
      </c>
      <c r="J33" s="121" t="e">
        <f>SUM(J34:J40)+IB_5.2.sz.mell!E25+IB_5.3.sz.mell!E25+#REF!+#REF!+#REF!+#REF!+#REF!+#REF!+#REF!+#REF!+#REF!</f>
        <v>#REF!</v>
      </c>
      <c r="K33" s="146" t="e">
        <f t="shared" si="5"/>
        <v>#REF!</v>
      </c>
    </row>
    <row r="34" spans="1:11" s="126" customFormat="1" ht="12" customHeight="1" x14ac:dyDescent="0.2">
      <c r="A34" s="134" t="str">
        <f>IB_1.1.sz.mell.!A34</f>
        <v>24</v>
      </c>
      <c r="B34" s="127" t="str">
        <f>IB_1.1.sz.mell.!B34</f>
        <v>Építményadó</v>
      </c>
      <c r="C34" s="209">
        <f>IB_1.1.sz.mell.!C34</f>
        <v>0</v>
      </c>
      <c r="D34" s="209">
        <f>IB_5.1.sz.mell!C31</f>
        <v>0</v>
      </c>
      <c r="E34" s="68">
        <f t="shared" si="3"/>
        <v>0</v>
      </c>
      <c r="F34" s="209">
        <f>IB_1.1.sz.mell.!D34</f>
        <v>0</v>
      </c>
      <c r="G34" s="209">
        <f>IB_5.1.sz.mell!D31</f>
        <v>0</v>
      </c>
      <c r="H34" s="68">
        <f t="shared" si="4"/>
        <v>0</v>
      </c>
      <c r="I34" s="209">
        <f>IB_1.1.sz.mell.!E34</f>
        <v>0</v>
      </c>
      <c r="J34" s="209">
        <f>IB_5.1.sz.mell!E31</f>
        <v>0</v>
      </c>
      <c r="K34" s="68">
        <f t="shared" si="5"/>
        <v>0</v>
      </c>
    </row>
    <row r="35" spans="1:11" s="126" customFormat="1" ht="12" customHeight="1" x14ac:dyDescent="0.2">
      <c r="A35" s="135" t="str">
        <f>IB_1.1.sz.mell.!A35</f>
        <v>25</v>
      </c>
      <c r="B35" s="127" t="str">
        <f>IB_1.1.sz.mell.!B35</f>
        <v>Magánszemélyek kommunális adója</v>
      </c>
      <c r="C35" s="215">
        <f>IB_1.1.sz.mell.!C35</f>
        <v>32000000</v>
      </c>
      <c r="D35" s="215">
        <f>IB_5.1.sz.mell!C32</f>
        <v>32000000</v>
      </c>
      <c r="E35" s="67">
        <f t="shared" si="3"/>
        <v>0</v>
      </c>
      <c r="F35" s="215">
        <f>IB_1.1.sz.mell.!D35</f>
        <v>32000000</v>
      </c>
      <c r="G35" s="215">
        <f>IB_5.1.sz.mell!D32</f>
        <v>32000000</v>
      </c>
      <c r="H35" s="67">
        <f t="shared" si="4"/>
        <v>0</v>
      </c>
      <c r="I35" s="209">
        <f>IB_1.1.sz.mell.!E35</f>
        <v>14915250</v>
      </c>
      <c r="J35" s="209">
        <f>IB_5.1.sz.mell!E32</f>
        <v>14915250</v>
      </c>
      <c r="K35" s="67">
        <f t="shared" si="5"/>
        <v>0</v>
      </c>
    </row>
    <row r="36" spans="1:11" s="126" customFormat="1" ht="12" customHeight="1" x14ac:dyDescent="0.2">
      <c r="A36" s="135" t="str">
        <f>IB_1.1.sz.mell.!A36</f>
        <v>26</v>
      </c>
      <c r="B36" s="127" t="str">
        <f>IB_1.1.sz.mell.!B36</f>
        <v>Iparűzési adó</v>
      </c>
      <c r="C36" s="215">
        <f>IB_1.1.sz.mell.!C36</f>
        <v>400000000</v>
      </c>
      <c r="D36" s="215">
        <f>IB_5.1.sz.mell!C33</f>
        <v>400000000</v>
      </c>
      <c r="E36" s="67">
        <f t="shared" si="3"/>
        <v>0</v>
      </c>
      <c r="F36" s="215">
        <f>IB_1.1.sz.mell.!D36</f>
        <v>400000000</v>
      </c>
      <c r="G36" s="215">
        <f>IB_5.1.sz.mell!D33</f>
        <v>400000000</v>
      </c>
      <c r="H36" s="67">
        <f t="shared" si="4"/>
        <v>0</v>
      </c>
      <c r="I36" s="209">
        <f>IB_1.1.sz.mell.!E36</f>
        <v>194818055</v>
      </c>
      <c r="J36" s="209">
        <f>IB_5.1.sz.mell!E33</f>
        <v>194818055</v>
      </c>
      <c r="K36" s="67">
        <f t="shared" si="5"/>
        <v>0</v>
      </c>
    </row>
    <row r="37" spans="1:11" s="126" customFormat="1" ht="12" customHeight="1" x14ac:dyDescent="0.2">
      <c r="A37" s="135" t="str">
        <f>IB_1.1.sz.mell.!A37</f>
        <v>27</v>
      </c>
      <c r="B37" s="127" t="str">
        <f>IB_1.1.sz.mell.!B37</f>
        <v xml:space="preserve">Talajterhelési díj </v>
      </c>
      <c r="C37" s="215">
        <f>IB_1.1.sz.mell.!C37</f>
        <v>500000</v>
      </c>
      <c r="D37" s="215">
        <f>IB_5.1.sz.mell!C34</f>
        <v>500000</v>
      </c>
      <c r="E37" s="67">
        <f t="shared" si="3"/>
        <v>0</v>
      </c>
      <c r="F37" s="215">
        <f>IB_1.1.sz.mell.!D37</f>
        <v>500000</v>
      </c>
      <c r="G37" s="215">
        <f>IB_5.1.sz.mell!D34</f>
        <v>500000</v>
      </c>
      <c r="H37" s="67">
        <f t="shared" si="4"/>
        <v>0</v>
      </c>
      <c r="I37" s="209">
        <f>IB_1.1.sz.mell.!E37</f>
        <v>133800</v>
      </c>
      <c r="J37" s="209">
        <f>IB_5.1.sz.mell!E34</f>
        <v>133800</v>
      </c>
      <c r="K37" s="67">
        <f t="shared" si="5"/>
        <v>0</v>
      </c>
    </row>
    <row r="38" spans="1:11" s="126" customFormat="1" ht="12" customHeight="1" x14ac:dyDescent="0.2">
      <c r="A38" s="135" t="str">
        <f>IB_1.1.sz.mell.!A38</f>
        <v>28</v>
      </c>
      <c r="B38" s="127" t="str">
        <f>IB_1.1.sz.mell.!B38</f>
        <v>Gépjárműadó</v>
      </c>
      <c r="C38" s="215">
        <f>IB_1.1.sz.mell.!C38</f>
        <v>0</v>
      </c>
      <c r="D38" s="215">
        <f>IB_5.1.sz.mell!C35</f>
        <v>0</v>
      </c>
      <c r="E38" s="67">
        <f t="shared" si="3"/>
        <v>0</v>
      </c>
      <c r="F38" s="215">
        <f>IB_1.1.sz.mell.!D38</f>
        <v>0</v>
      </c>
      <c r="G38" s="215">
        <f>IB_5.1.sz.mell!D35</f>
        <v>0</v>
      </c>
      <c r="H38" s="67">
        <f t="shared" si="4"/>
        <v>0</v>
      </c>
      <c r="I38" s="209">
        <f>IB_1.1.sz.mell.!E38</f>
        <v>0</v>
      </c>
      <c r="J38" s="209">
        <f>IB_5.1.sz.mell!E35</f>
        <v>0</v>
      </c>
      <c r="K38" s="67">
        <f t="shared" si="5"/>
        <v>0</v>
      </c>
    </row>
    <row r="39" spans="1:11" s="126" customFormat="1" ht="12" customHeight="1" x14ac:dyDescent="0.2">
      <c r="A39" s="135" t="str">
        <f>IB_1.1.sz.mell.!A39</f>
        <v>29</v>
      </c>
      <c r="B39" s="127" t="str">
        <f>IB_1.1.sz.mell.!B39</f>
        <v>Telekadó</v>
      </c>
      <c r="C39" s="215">
        <f>IB_1.1.sz.mell.!C39</f>
        <v>0</v>
      </c>
      <c r="D39" s="215">
        <f>IB_5.1.sz.mell!C36</f>
        <v>0</v>
      </c>
      <c r="E39" s="67">
        <f t="shared" si="3"/>
        <v>0</v>
      </c>
      <c r="F39" s="215">
        <f>IB_1.1.sz.mell.!D39</f>
        <v>0</v>
      </c>
      <c r="G39" s="215">
        <f>IB_5.1.sz.mell!D36</f>
        <v>0</v>
      </c>
      <c r="H39" s="67">
        <f t="shared" si="4"/>
        <v>0</v>
      </c>
      <c r="I39" s="209">
        <f>IB_1.1.sz.mell.!E39</f>
        <v>0</v>
      </c>
      <c r="J39" s="209">
        <f>IB_5.1.sz.mell!E36</f>
        <v>0</v>
      </c>
      <c r="K39" s="67">
        <f t="shared" si="5"/>
        <v>0</v>
      </c>
    </row>
    <row r="40" spans="1:11" s="126" customFormat="1" ht="12" customHeight="1" thickBot="1" x14ac:dyDescent="0.25">
      <c r="A40" s="136" t="str">
        <f>IB_1.1.sz.mell.!A40</f>
        <v>30</v>
      </c>
      <c r="B40" s="127" t="str">
        <f>IB_1.1.sz.mell.!B40</f>
        <v>Egyéb közhatalmi bevétel</v>
      </c>
      <c r="C40" s="217">
        <f>IB_1.1.sz.mell.!C40</f>
        <v>2500000</v>
      </c>
      <c r="D40" s="217">
        <f>IB_5.1.sz.mell!C37</f>
        <v>2500000</v>
      </c>
      <c r="E40" s="69">
        <f t="shared" si="3"/>
        <v>0</v>
      </c>
      <c r="F40" s="217">
        <f>IB_1.1.sz.mell.!D40</f>
        <v>2500000</v>
      </c>
      <c r="G40" s="217">
        <f>IB_5.1.sz.mell!D37</f>
        <v>2500000</v>
      </c>
      <c r="H40" s="69">
        <f t="shared" si="4"/>
        <v>0</v>
      </c>
      <c r="I40" s="209">
        <f>IB_1.1.sz.mell.!E40</f>
        <v>669630</v>
      </c>
      <c r="J40" s="209">
        <f>IB_5.1.sz.mell!E37</f>
        <v>669630</v>
      </c>
      <c r="K40" s="69">
        <f t="shared" si="5"/>
        <v>0</v>
      </c>
    </row>
    <row r="41" spans="1:11" s="126" customFormat="1" ht="12" customHeight="1" thickBot="1" x14ac:dyDescent="0.25">
      <c r="A41" s="18">
        <f>IB_1.1.sz.mell.!A41</f>
        <v>31</v>
      </c>
      <c r="B41" s="13" t="str">
        <f>IB_1.1.sz.mell.!B41</f>
        <v>Működési bevételek (32+…+ 42)</v>
      </c>
      <c r="C41" s="115">
        <f>SUM(C42:C52)</f>
        <v>40911682</v>
      </c>
      <c r="D41" s="115" t="e">
        <f>SUM(D42:D52)</f>
        <v>#REF!</v>
      </c>
      <c r="E41" s="66" t="e">
        <f t="shared" si="3"/>
        <v>#REF!</v>
      </c>
      <c r="F41" s="115">
        <f>SUM(F42:F52)</f>
        <v>41853262</v>
      </c>
      <c r="G41" s="115" t="e">
        <f>SUM(G42:G52)</f>
        <v>#REF!</v>
      </c>
      <c r="H41" s="66" t="e">
        <f t="shared" si="4"/>
        <v>#REF!</v>
      </c>
      <c r="I41" s="115">
        <f>SUM(I42:I52)</f>
        <v>20652867</v>
      </c>
      <c r="J41" s="115" t="e">
        <f>SUM(J42:J52)</f>
        <v>#REF!</v>
      </c>
      <c r="K41" s="66" t="e">
        <f t="shared" si="5"/>
        <v>#REF!</v>
      </c>
    </row>
    <row r="42" spans="1:11" s="126" customFormat="1" ht="12" customHeight="1" x14ac:dyDescent="0.2">
      <c r="A42" s="134" t="str">
        <f>IB_1.1.sz.mell.!A42</f>
        <v>32</v>
      </c>
      <c r="B42" s="127" t="str">
        <f>IB_1.1.sz.mell.!B42</f>
        <v>Készletértékesítés ellenértéke</v>
      </c>
      <c r="C42" s="209">
        <f>IB_1.1.sz.mell.!C42</f>
        <v>0</v>
      </c>
      <c r="D42" s="209" t="e">
        <f>IB_5.1.sz.mell!C39+IB_5.2.sz.mell!C9+IB_5.3.sz.mell!C9+#REF!+#REF!+#REF!+#REF!+#REF!+#REF!+#REF!+#REF!+#REF!</f>
        <v>#REF!</v>
      </c>
      <c r="E42" s="68" t="e">
        <f t="shared" si="3"/>
        <v>#REF!</v>
      </c>
      <c r="F42" s="209">
        <f>IB_1.1.sz.mell.!D42</f>
        <v>0</v>
      </c>
      <c r="G42" s="209" t="e">
        <f>IB_5.1.sz.mell!D39+IB_5.2.sz.mell!D9+IB_5.3.sz.mell!D9+#REF!+#REF!+#REF!+#REF!+#REF!+#REF!+#REF!+#REF!+#REF!</f>
        <v>#REF!</v>
      </c>
      <c r="H42" s="68" t="e">
        <f t="shared" si="4"/>
        <v>#REF!</v>
      </c>
      <c r="I42" s="209">
        <f>IB_1.1.sz.mell.!E42</f>
        <v>0</v>
      </c>
      <c r="J42" s="209" t="e">
        <f>IB_5.1.sz.mell!E39+IB_5.2.sz.mell!E9+IB_5.3.sz.mell!E9+#REF!+#REF!+#REF!+#REF!+#REF!+#REF!+#REF!+#REF!+#REF!</f>
        <v>#REF!</v>
      </c>
      <c r="K42" s="68" t="e">
        <f t="shared" si="5"/>
        <v>#REF!</v>
      </c>
    </row>
    <row r="43" spans="1:11" s="126" customFormat="1" ht="12" customHeight="1" x14ac:dyDescent="0.2">
      <c r="A43" s="135" t="str">
        <f>IB_1.1.sz.mell.!A43</f>
        <v>33</v>
      </c>
      <c r="B43" s="128" t="str">
        <f>IB_1.1.sz.mell.!B43</f>
        <v>Szolgáltatások ellenértéke</v>
      </c>
      <c r="C43" s="215">
        <f>IB_1.1.sz.mell.!C43</f>
        <v>5100000</v>
      </c>
      <c r="D43" s="215" t="e">
        <f>IB_5.1.sz.mell!C40+IB_5.2.sz.mell!C10+IB_5.3.sz.mell!C10+#REF!+#REF!+#REF!+#REF!+#REF!+#REF!+#REF!+#REF!+#REF!</f>
        <v>#REF!</v>
      </c>
      <c r="E43" s="67" t="e">
        <f t="shared" si="3"/>
        <v>#REF!</v>
      </c>
      <c r="F43" s="215">
        <f>IB_1.1.sz.mell.!D43</f>
        <v>5100000</v>
      </c>
      <c r="G43" s="215" t="e">
        <f>IB_5.1.sz.mell!D40+IB_5.2.sz.mell!D10+IB_5.3.sz.mell!D10+#REF!+#REF!+#REF!+#REF!+#REF!+#REF!+#REF!+#REF!+#REF!</f>
        <v>#REF!</v>
      </c>
      <c r="H43" s="67" t="e">
        <f t="shared" si="4"/>
        <v>#REF!</v>
      </c>
      <c r="I43" s="209">
        <f>IB_1.1.sz.mell.!E43</f>
        <v>3230605</v>
      </c>
      <c r="J43" s="209" t="e">
        <f>IB_5.1.sz.mell!E40+IB_5.2.sz.mell!E10+IB_5.3.sz.mell!E10+#REF!+#REF!+#REF!+#REF!+#REF!+#REF!+#REF!+#REF!+#REF!</f>
        <v>#REF!</v>
      </c>
      <c r="K43" s="67" t="e">
        <f t="shared" si="5"/>
        <v>#REF!</v>
      </c>
    </row>
    <row r="44" spans="1:11" s="126" customFormat="1" ht="12" customHeight="1" x14ac:dyDescent="0.2">
      <c r="A44" s="135" t="str">
        <f>IB_1.1.sz.mell.!A44</f>
        <v>34</v>
      </c>
      <c r="B44" s="128" t="str">
        <f>IB_1.1.sz.mell.!B44</f>
        <v>Közvetített szolgáltatások értéke</v>
      </c>
      <c r="C44" s="215">
        <f>IB_1.1.sz.mell.!C44</f>
        <v>3410000</v>
      </c>
      <c r="D44" s="215" t="e">
        <f>IB_5.1.sz.mell!C41+IB_5.2.sz.mell!C11+IB_5.3.sz.mell!C11+#REF!+#REF!+#REF!+#REF!+#REF!+#REF!+#REF!+#REF!+#REF!</f>
        <v>#REF!</v>
      </c>
      <c r="E44" s="67" t="e">
        <f t="shared" si="3"/>
        <v>#REF!</v>
      </c>
      <c r="F44" s="215">
        <f>IB_1.1.sz.mell.!D44</f>
        <v>3410000</v>
      </c>
      <c r="G44" s="215" t="e">
        <f>IB_5.1.sz.mell!D41+IB_5.2.sz.mell!D11+IB_5.3.sz.mell!D11+#REF!+#REF!+#REF!+#REF!+#REF!+#REF!+#REF!+#REF!+#REF!</f>
        <v>#REF!</v>
      </c>
      <c r="H44" s="67" t="e">
        <f t="shared" si="4"/>
        <v>#REF!</v>
      </c>
      <c r="I44" s="209">
        <f>IB_1.1.sz.mell.!E44</f>
        <v>2948280</v>
      </c>
      <c r="J44" s="209" t="e">
        <f>IB_5.1.sz.mell!E41+IB_5.2.sz.mell!E11+IB_5.3.sz.mell!E11+#REF!+#REF!+#REF!+#REF!+#REF!+#REF!+#REF!+#REF!+#REF!</f>
        <v>#REF!</v>
      </c>
      <c r="K44" s="67" t="e">
        <f t="shared" si="5"/>
        <v>#REF!</v>
      </c>
    </row>
    <row r="45" spans="1:11" s="126" customFormat="1" ht="12" customHeight="1" x14ac:dyDescent="0.2">
      <c r="A45" s="135" t="str">
        <f>IB_1.1.sz.mell.!A45</f>
        <v>35</v>
      </c>
      <c r="B45" s="128" t="str">
        <f>IB_1.1.sz.mell.!B45</f>
        <v>Tulajdonosi bevételek</v>
      </c>
      <c r="C45" s="215">
        <f>IB_1.1.sz.mell.!C45</f>
        <v>22740000</v>
      </c>
      <c r="D45" s="215" t="e">
        <f>IB_5.1.sz.mell!C42+IB_5.2.sz.mell!C12+IB_5.3.sz.mell!C12+#REF!+#REF!+#REF!+#REF!+#REF!+#REF!+#REF!+#REF!+#REF!</f>
        <v>#REF!</v>
      </c>
      <c r="E45" s="67" t="e">
        <f t="shared" si="3"/>
        <v>#REF!</v>
      </c>
      <c r="F45" s="215">
        <f>IB_1.1.sz.mell.!D45</f>
        <v>22740000</v>
      </c>
      <c r="G45" s="215" t="e">
        <f>IB_5.1.sz.mell!D42+IB_5.2.sz.mell!D12+IB_5.3.sz.mell!D12+#REF!+#REF!+#REF!+#REF!+#REF!+#REF!+#REF!+#REF!+#REF!</f>
        <v>#REF!</v>
      </c>
      <c r="H45" s="67" t="e">
        <f t="shared" si="4"/>
        <v>#REF!</v>
      </c>
      <c r="I45" s="209">
        <f>IB_1.1.sz.mell.!E45</f>
        <v>5584959</v>
      </c>
      <c r="J45" s="209" t="e">
        <f>IB_5.1.sz.mell!E42+IB_5.2.sz.mell!E12+IB_5.3.sz.mell!E12+#REF!+#REF!+#REF!+#REF!+#REF!+#REF!+#REF!+#REF!+#REF!</f>
        <v>#REF!</v>
      </c>
      <c r="K45" s="67" t="e">
        <f t="shared" si="5"/>
        <v>#REF!</v>
      </c>
    </row>
    <row r="46" spans="1:11" s="126" customFormat="1" ht="12" customHeight="1" x14ac:dyDescent="0.2">
      <c r="A46" s="135" t="str">
        <f>IB_1.1.sz.mell.!A46</f>
        <v>36</v>
      </c>
      <c r="B46" s="128" t="str">
        <f>IB_1.1.sz.mell.!B46</f>
        <v>Ellátási díjak</v>
      </c>
      <c r="C46" s="215">
        <f>IB_1.1.sz.mell.!C46</f>
        <v>0</v>
      </c>
      <c r="D46" s="215" t="e">
        <f>IB_5.1.sz.mell!C43+IB_5.2.sz.mell!C13+IB_5.3.sz.mell!C13+#REF!+#REF!+#REF!+#REF!+#REF!+#REF!+#REF!+#REF!+#REF!</f>
        <v>#REF!</v>
      </c>
      <c r="E46" s="67" t="e">
        <f t="shared" si="3"/>
        <v>#REF!</v>
      </c>
      <c r="F46" s="215">
        <f>IB_1.1.sz.mell.!D46</f>
        <v>0</v>
      </c>
      <c r="G46" s="215" t="e">
        <f>IB_5.1.sz.mell!D43+IB_5.2.sz.mell!D13+IB_5.3.sz.mell!D13+#REF!+#REF!+#REF!+#REF!+#REF!+#REF!+#REF!+#REF!+#REF!</f>
        <v>#REF!</v>
      </c>
      <c r="H46" s="67" t="e">
        <f t="shared" si="4"/>
        <v>#REF!</v>
      </c>
      <c r="I46" s="209">
        <f>IB_1.1.sz.mell.!E46</f>
        <v>0</v>
      </c>
      <c r="J46" s="209" t="e">
        <f>IB_5.1.sz.mell!E43+IB_5.2.sz.mell!E13+IB_5.3.sz.mell!E13+#REF!+#REF!+#REF!+#REF!+#REF!+#REF!+#REF!+#REF!+#REF!</f>
        <v>#REF!</v>
      </c>
      <c r="K46" s="67" t="e">
        <f t="shared" si="5"/>
        <v>#REF!</v>
      </c>
    </row>
    <row r="47" spans="1:11" s="126" customFormat="1" ht="12" customHeight="1" x14ac:dyDescent="0.2">
      <c r="A47" s="135" t="str">
        <f>IB_1.1.sz.mell.!A47</f>
        <v>37</v>
      </c>
      <c r="B47" s="128" t="str">
        <f>IB_1.1.sz.mell.!B47</f>
        <v xml:space="preserve">Kiszámlázott általános forgalmi adó </v>
      </c>
      <c r="C47" s="215">
        <f>IB_1.1.sz.mell.!C47</f>
        <v>4163200</v>
      </c>
      <c r="D47" s="215" t="e">
        <f>IB_5.1.sz.mell!C44+IB_5.2.sz.mell!C14+IB_5.3.sz.mell!C14+#REF!+#REF!+#REF!+#REF!+#REF!+#REF!+#REF!+#REF!+#REF!</f>
        <v>#REF!</v>
      </c>
      <c r="E47" s="67" t="e">
        <f t="shared" si="3"/>
        <v>#REF!</v>
      </c>
      <c r="F47" s="215">
        <f>IB_1.1.sz.mell.!D47</f>
        <v>5104780</v>
      </c>
      <c r="G47" s="215" t="e">
        <f>IB_5.1.sz.mell!D44+IB_5.2.sz.mell!D14+IB_5.3.sz.mell!D14+#REF!+#REF!+#REF!+#REF!+#REF!+#REF!+#REF!+#REF!+#REF!</f>
        <v>#REF!</v>
      </c>
      <c r="H47" s="67" t="e">
        <f t="shared" si="4"/>
        <v>#REF!</v>
      </c>
      <c r="I47" s="209">
        <f>IB_1.1.sz.mell.!E47</f>
        <v>2708414</v>
      </c>
      <c r="J47" s="209" t="e">
        <f>IB_5.1.sz.mell!E44+IB_5.2.sz.mell!E14+IB_5.3.sz.mell!E14+#REF!+#REF!+#REF!+#REF!+#REF!+#REF!+#REF!+#REF!+#REF!</f>
        <v>#REF!</v>
      </c>
      <c r="K47" s="67" t="e">
        <f t="shared" si="5"/>
        <v>#REF!</v>
      </c>
    </row>
    <row r="48" spans="1:11" s="126" customFormat="1" ht="12" customHeight="1" x14ac:dyDescent="0.2">
      <c r="A48" s="135" t="str">
        <f>IB_1.1.sz.mell.!A48</f>
        <v>38</v>
      </c>
      <c r="B48" s="128" t="str">
        <f>IB_1.1.sz.mell.!B48</f>
        <v>Általános forgalmi adó visszatérítése</v>
      </c>
      <c r="C48" s="215">
        <f>IB_1.1.sz.mell.!C48</f>
        <v>5398482</v>
      </c>
      <c r="D48" s="215" t="e">
        <f>IB_5.1.sz.mell!C45+IB_5.2.sz.mell!C15+IB_5.3.sz.mell!C15+#REF!+#REF!+#REF!+#REF!+#REF!+#REF!+#REF!+#REF!+#REF!</f>
        <v>#REF!</v>
      </c>
      <c r="E48" s="67" t="e">
        <f t="shared" si="3"/>
        <v>#REF!</v>
      </c>
      <c r="F48" s="215">
        <f>IB_1.1.sz.mell.!D48</f>
        <v>5398482</v>
      </c>
      <c r="G48" s="215" t="e">
        <f>IB_5.1.sz.mell!D45+IB_5.2.sz.mell!D15+IB_5.3.sz.mell!D15+#REF!+#REF!+#REF!+#REF!+#REF!+#REF!+#REF!+#REF!+#REF!</f>
        <v>#REF!</v>
      </c>
      <c r="H48" s="67" t="e">
        <f t="shared" si="4"/>
        <v>#REF!</v>
      </c>
      <c r="I48" s="209">
        <f>IB_1.1.sz.mell.!E48</f>
        <v>5598898</v>
      </c>
      <c r="J48" s="209" t="e">
        <f>IB_5.1.sz.mell!E45+IB_5.2.sz.mell!E15+IB_5.3.sz.mell!E15+#REF!+#REF!+#REF!+#REF!+#REF!+#REF!+#REF!+#REF!+#REF!</f>
        <v>#REF!</v>
      </c>
      <c r="K48" s="67" t="e">
        <f t="shared" si="5"/>
        <v>#REF!</v>
      </c>
    </row>
    <row r="49" spans="1:11" s="126" customFormat="1" ht="12" customHeight="1" x14ac:dyDescent="0.2">
      <c r="A49" s="135" t="str">
        <f>IB_1.1.sz.mell.!A49</f>
        <v>39</v>
      </c>
      <c r="B49" s="128" t="str">
        <f>IB_1.1.sz.mell.!B49</f>
        <v>Kamatbevételek és más nyereségjellegű bevételek</v>
      </c>
      <c r="C49" s="215">
        <f>IB_1.1.sz.mell.!C49</f>
        <v>0</v>
      </c>
      <c r="D49" s="215" t="e">
        <f>IB_5.1.sz.mell!C46+IB_5.2.sz.mell!C16+IB_5.3.sz.mell!C16+#REF!+#REF!+#REF!+#REF!+#REF!+#REF!+#REF!+#REF!+#REF!</f>
        <v>#REF!</v>
      </c>
      <c r="E49" s="67" t="e">
        <f t="shared" si="3"/>
        <v>#REF!</v>
      </c>
      <c r="F49" s="215">
        <f>IB_1.1.sz.mell.!D49</f>
        <v>0</v>
      </c>
      <c r="G49" s="215" t="e">
        <f>IB_5.1.sz.mell!D46+IB_5.2.sz.mell!D16+IB_5.3.sz.mell!D16+#REF!+#REF!+#REF!+#REF!+#REF!+#REF!+#REF!+#REF!+#REF!</f>
        <v>#REF!</v>
      </c>
      <c r="H49" s="67" t="e">
        <f t="shared" si="4"/>
        <v>#REF!</v>
      </c>
      <c r="I49" s="209">
        <f>IB_1.1.sz.mell.!E49</f>
        <v>93</v>
      </c>
      <c r="J49" s="209" t="e">
        <f>IB_5.1.sz.mell!E46+IB_5.2.sz.mell!E16+IB_5.3.sz.mell!E16+#REF!+#REF!+#REF!+#REF!+#REF!+#REF!+#REF!+#REF!+#REF!</f>
        <v>#REF!</v>
      </c>
      <c r="K49" s="67" t="e">
        <f t="shared" si="5"/>
        <v>#REF!</v>
      </c>
    </row>
    <row r="50" spans="1:11" s="126" customFormat="1" ht="12" customHeight="1" x14ac:dyDescent="0.2">
      <c r="A50" s="135" t="str">
        <f>IB_1.1.sz.mell.!A50</f>
        <v>40</v>
      </c>
      <c r="B50" s="128" t="str">
        <f>IB_1.1.sz.mell.!B50</f>
        <v>Egyéb pénzügyi műveletek bevételei</v>
      </c>
      <c r="C50" s="212">
        <f>IB_1.1.sz.mell.!C50</f>
        <v>0</v>
      </c>
      <c r="D50" s="212" t="e">
        <f>IB_5.1.sz.mell!C47+IB_5.2.sz.mell!C17+IB_5.3.sz.mell!C17+#REF!+#REF!+#REF!+#REF!+#REF!+#REF!+#REF!+#REF!+#REF!</f>
        <v>#REF!</v>
      </c>
      <c r="E50" s="70" t="e">
        <f t="shared" si="3"/>
        <v>#REF!</v>
      </c>
      <c r="F50" s="212">
        <f>IB_1.1.sz.mell.!D50</f>
        <v>0</v>
      </c>
      <c r="G50" s="212" t="e">
        <f>IB_5.1.sz.mell!D47+IB_5.2.sz.mell!D17+IB_5.3.sz.mell!D17+#REF!+#REF!+#REF!+#REF!+#REF!+#REF!+#REF!+#REF!+#REF!</f>
        <v>#REF!</v>
      </c>
      <c r="H50" s="70" t="e">
        <f t="shared" si="4"/>
        <v>#REF!</v>
      </c>
      <c r="I50" s="209">
        <f>IB_1.1.sz.mell.!E50</f>
        <v>0</v>
      </c>
      <c r="J50" s="209" t="e">
        <f>IB_5.1.sz.mell!E47+IB_5.2.sz.mell!E17+IB_5.3.sz.mell!E17+#REF!+#REF!+#REF!+#REF!+#REF!+#REF!+#REF!+#REF!+#REF!</f>
        <v>#REF!</v>
      </c>
      <c r="K50" s="70" t="e">
        <f t="shared" si="5"/>
        <v>#REF!</v>
      </c>
    </row>
    <row r="51" spans="1:11" s="126" customFormat="1" ht="12" customHeight="1" x14ac:dyDescent="0.2">
      <c r="A51" s="136" t="str">
        <f>IB_1.1.sz.mell.!A51</f>
        <v>41</v>
      </c>
      <c r="B51" s="129" t="str">
        <f>IB_1.1.sz.mell.!B51</f>
        <v>Biztosító által fizetett kártérítés</v>
      </c>
      <c r="C51" s="242">
        <f>IB_1.1.sz.mell.!C51</f>
        <v>0</v>
      </c>
      <c r="D51" s="242" t="e">
        <f>IB_5.1.sz.mell!C48+IB_5.2.sz.mell!C18+IB_5.3.sz.mell!C18+#REF!+#REF!+#REF!+#REF!+#REF!+#REF!+#REF!+#REF!+#REF!</f>
        <v>#REF!</v>
      </c>
      <c r="E51" s="71" t="e">
        <f t="shared" si="3"/>
        <v>#REF!</v>
      </c>
      <c r="F51" s="242">
        <f>IB_1.1.sz.mell.!D51</f>
        <v>0</v>
      </c>
      <c r="G51" s="242" t="e">
        <f>IB_5.1.sz.mell!D48+IB_5.2.sz.mell!D18+IB_5.3.sz.mell!D18+#REF!+#REF!+#REF!+#REF!+#REF!+#REF!+#REF!+#REF!+#REF!</f>
        <v>#REF!</v>
      </c>
      <c r="H51" s="71" t="e">
        <f t="shared" si="4"/>
        <v>#REF!</v>
      </c>
      <c r="I51" s="209">
        <f>IB_1.1.sz.mell.!E51</f>
        <v>547706</v>
      </c>
      <c r="J51" s="209" t="e">
        <f>IB_5.1.sz.mell!E48+IB_5.2.sz.mell!E18+IB_5.3.sz.mell!E18+#REF!+#REF!+#REF!+#REF!+#REF!+#REF!+#REF!+#REF!+#REF!</f>
        <v>#REF!</v>
      </c>
      <c r="K51" s="71" t="e">
        <f t="shared" si="5"/>
        <v>#REF!</v>
      </c>
    </row>
    <row r="52" spans="1:11" s="126" customFormat="1" ht="12" customHeight="1" thickBot="1" x14ac:dyDescent="0.25">
      <c r="A52" s="136" t="str">
        <f>IB_1.1.sz.mell.!A52</f>
        <v>42</v>
      </c>
      <c r="B52" s="75" t="str">
        <f>IB_1.1.sz.mell.!B52</f>
        <v>Egyéb működési bevételek</v>
      </c>
      <c r="C52" s="242">
        <f>IB_1.1.sz.mell.!C52</f>
        <v>100000</v>
      </c>
      <c r="D52" s="242" t="e">
        <f>IB_5.1.sz.mell!C49+IB_5.2.sz.mell!C19+IB_5.3.sz.mell!C19+#REF!+#REF!+#REF!+#REF!+#REF!+#REF!+#REF!+#REF!+#REF!</f>
        <v>#REF!</v>
      </c>
      <c r="E52" s="71" t="e">
        <f t="shared" si="3"/>
        <v>#REF!</v>
      </c>
      <c r="F52" s="242">
        <f>IB_1.1.sz.mell.!D52</f>
        <v>100000</v>
      </c>
      <c r="G52" s="242" t="e">
        <f>IB_5.1.sz.mell!D49+IB_5.2.sz.mell!D19+IB_5.3.sz.mell!D19+#REF!+#REF!+#REF!+#REF!+#REF!+#REF!+#REF!+#REF!+#REF!</f>
        <v>#REF!</v>
      </c>
      <c r="H52" s="71" t="e">
        <f t="shared" si="4"/>
        <v>#REF!</v>
      </c>
      <c r="I52" s="209">
        <f>IB_1.1.sz.mell.!E52</f>
        <v>33912</v>
      </c>
      <c r="J52" s="209" t="e">
        <f>IB_5.1.sz.mell!E49+IB_5.2.sz.mell!E19+IB_5.3.sz.mell!E19+#REF!+#REF!+#REF!+#REF!+#REF!+#REF!+#REF!+#REF!+#REF!</f>
        <v>#REF!</v>
      </c>
      <c r="K52" s="71" t="e">
        <f t="shared" si="5"/>
        <v>#REF!</v>
      </c>
    </row>
    <row r="53" spans="1:11" s="126" customFormat="1" ht="12" customHeight="1" thickBot="1" x14ac:dyDescent="0.25">
      <c r="A53" s="18">
        <f>IB_1.1.sz.mell.!A53</f>
        <v>43</v>
      </c>
      <c r="B53" s="13" t="str">
        <f>IB_1.1.sz.mell.!B53</f>
        <v>Felhalmozási bevételek (44+…+48)</v>
      </c>
      <c r="C53" s="115">
        <f>SUM(C54:C58)</f>
        <v>14330264</v>
      </c>
      <c r="D53" s="115" t="e">
        <f>SUM(D54:D58)</f>
        <v>#REF!</v>
      </c>
      <c r="E53" s="66" t="e">
        <f t="shared" si="3"/>
        <v>#REF!</v>
      </c>
      <c r="F53" s="115">
        <f>SUM(F54:F58)</f>
        <v>5487333</v>
      </c>
      <c r="G53" s="115" t="e">
        <f>SUM(G54:G58)</f>
        <v>#REF!</v>
      </c>
      <c r="H53" s="66" t="e">
        <f t="shared" si="4"/>
        <v>#REF!</v>
      </c>
      <c r="I53" s="115">
        <f>SUM(I54:I58)</f>
        <v>0</v>
      </c>
      <c r="J53" s="115" t="e">
        <f>SUM(J54:J58)</f>
        <v>#REF!</v>
      </c>
      <c r="K53" s="66" t="e">
        <f t="shared" si="5"/>
        <v>#REF!</v>
      </c>
    </row>
    <row r="54" spans="1:11" s="126" customFormat="1" ht="12" customHeight="1" x14ac:dyDescent="0.2">
      <c r="A54" s="134" t="str">
        <f>IB_1.1.sz.mell.!A54</f>
        <v>44</v>
      </c>
      <c r="B54" s="127" t="str">
        <f>IB_1.1.sz.mell.!B54</f>
        <v>Immateriális javak értékesítése</v>
      </c>
      <c r="C54" s="211">
        <f>IB_1.1.sz.mell.!C54</f>
        <v>0</v>
      </c>
      <c r="D54" s="212" t="e">
        <f>IB_5.1.sz.mell!C51+IB_5.2.sz.mell!C32+IB_5.3.sz.mell!C32+#REF!+#REF!+#REF!+#REF!+#REF!+#REF!+#REF!+#REF!+#REF!</f>
        <v>#REF!</v>
      </c>
      <c r="E54" s="72" t="e">
        <f t="shared" si="3"/>
        <v>#REF!</v>
      </c>
      <c r="F54" s="211">
        <f>IB_1.1.sz.mell.!D54</f>
        <v>0</v>
      </c>
      <c r="G54" s="211" t="e">
        <f>IB_5.1.sz.mell!D51+IB_5.2.sz.mell!D32+IB_5.3.sz.mell!D32+#REF!+#REF!+#REF!+#REF!+#REF!+#REF!+#REF!+#REF!+#REF!</f>
        <v>#REF!</v>
      </c>
      <c r="H54" s="72" t="e">
        <f t="shared" si="4"/>
        <v>#REF!</v>
      </c>
      <c r="I54" s="211">
        <f>IB_1.1.sz.mell.!E54</f>
        <v>0</v>
      </c>
      <c r="J54" s="211" t="e">
        <f>IB_5.1.sz.mell!E51+IB_5.2.sz.mell!E32+IB_5.3.sz.mell!E32+#REF!+#REF!+#REF!+#REF!+#REF!+#REF!+#REF!+#REF!+#REF!</f>
        <v>#REF!</v>
      </c>
      <c r="K54" s="72" t="e">
        <f t="shared" si="5"/>
        <v>#REF!</v>
      </c>
    </row>
    <row r="55" spans="1:11" s="126" customFormat="1" ht="12" customHeight="1" x14ac:dyDescent="0.2">
      <c r="A55" s="135" t="str">
        <f>IB_1.1.sz.mell.!A55</f>
        <v>45</v>
      </c>
      <c r="B55" s="128" t="str">
        <f>IB_1.1.sz.mell.!B55</f>
        <v>Ingatlanok értékesítése</v>
      </c>
      <c r="C55" s="212">
        <f>IB_1.1.sz.mell.!C55</f>
        <v>14330264</v>
      </c>
      <c r="D55" s="211" t="e">
        <f>IB_5.1.sz.mell!C52+IB_5.2.sz.mell!C33+IB_5.3.sz.mell!C33+#REF!+#REF!+#REF!+#REF!+#REF!+#REF!+#REF!+#REF!+#REF!</f>
        <v>#REF!</v>
      </c>
      <c r="E55" s="70" t="e">
        <f t="shared" si="3"/>
        <v>#REF!</v>
      </c>
      <c r="F55" s="212">
        <f>IB_1.1.sz.mell.!D55</f>
        <v>5487333</v>
      </c>
      <c r="G55" s="211" t="e">
        <f>IB_5.1.sz.mell!D52+IB_5.2.sz.mell!D33+IB_5.3.sz.mell!D33+#REF!+#REF!+#REF!+#REF!+#REF!+#REF!+#REF!+#REF!+#REF!</f>
        <v>#REF!</v>
      </c>
      <c r="H55" s="70" t="e">
        <f t="shared" si="4"/>
        <v>#REF!</v>
      </c>
      <c r="I55" s="211">
        <f>IB_1.1.sz.mell.!E55</f>
        <v>0</v>
      </c>
      <c r="J55" s="211" t="e">
        <f>IB_5.1.sz.mell!E52+IB_5.2.sz.mell!E33+IB_5.3.sz.mell!E33+#REF!+#REF!+#REF!+#REF!+#REF!+#REF!+#REF!+#REF!+#REF!</f>
        <v>#REF!</v>
      </c>
      <c r="K55" s="70" t="e">
        <f t="shared" si="5"/>
        <v>#REF!</v>
      </c>
    </row>
    <row r="56" spans="1:11" s="126" customFormat="1" ht="12" customHeight="1" x14ac:dyDescent="0.2">
      <c r="A56" s="135" t="str">
        <f>IB_1.1.sz.mell.!A56</f>
        <v>46</v>
      </c>
      <c r="B56" s="128" t="str">
        <f>IB_1.1.sz.mell.!B56</f>
        <v>Egyéb tárgyi eszközök értékesítése</v>
      </c>
      <c r="C56" s="212">
        <f>IB_1.1.sz.mell.!C56</f>
        <v>0</v>
      </c>
      <c r="D56" s="211" t="e">
        <f>IB_5.1.sz.mell!C53+IB_5.2.sz.mell!C34+IB_5.3.sz.mell!C34+#REF!+#REF!+#REF!+#REF!+#REF!+#REF!+#REF!+#REF!+#REF!</f>
        <v>#REF!</v>
      </c>
      <c r="E56" s="70" t="e">
        <f t="shared" si="3"/>
        <v>#REF!</v>
      </c>
      <c r="F56" s="212">
        <f>IB_1.1.sz.mell.!D56</f>
        <v>0</v>
      </c>
      <c r="G56" s="211" t="e">
        <f>IB_5.1.sz.mell!D53+IB_5.2.sz.mell!D34+IB_5.3.sz.mell!D34+#REF!+#REF!+#REF!+#REF!+#REF!+#REF!+#REF!+#REF!+#REF!</f>
        <v>#REF!</v>
      </c>
      <c r="H56" s="70" t="e">
        <f t="shared" si="4"/>
        <v>#REF!</v>
      </c>
      <c r="I56" s="211">
        <f>IB_1.1.sz.mell.!E56</f>
        <v>0</v>
      </c>
      <c r="J56" s="211" t="e">
        <f>IB_5.1.sz.mell!E53+IB_5.2.sz.mell!E34+IB_5.3.sz.mell!E34+#REF!+#REF!+#REF!+#REF!+#REF!+#REF!+#REF!+#REF!+#REF!</f>
        <v>#REF!</v>
      </c>
      <c r="K56" s="70" t="e">
        <f t="shared" si="5"/>
        <v>#REF!</v>
      </c>
    </row>
    <row r="57" spans="1:11" s="126" customFormat="1" ht="12" customHeight="1" x14ac:dyDescent="0.2">
      <c r="A57" s="135" t="str">
        <f>IB_1.1.sz.mell.!A57</f>
        <v>47</v>
      </c>
      <c r="B57" s="128" t="str">
        <f>IB_1.1.sz.mell.!B57</f>
        <v>Részesedések értékesítése</v>
      </c>
      <c r="C57" s="212">
        <f>IB_1.1.sz.mell.!C57</f>
        <v>0</v>
      </c>
      <c r="D57" s="212">
        <f>IB_5.1.sz.mell!C54</f>
        <v>0</v>
      </c>
      <c r="E57" s="70">
        <f t="shared" si="3"/>
        <v>0</v>
      </c>
      <c r="F57" s="212">
        <f>IB_1.1.sz.mell.!D57</f>
        <v>0</v>
      </c>
      <c r="G57" s="212">
        <f>IB_5.1.sz.mell!D54</f>
        <v>0</v>
      </c>
      <c r="H57" s="70">
        <f t="shared" si="4"/>
        <v>0</v>
      </c>
      <c r="I57" s="212">
        <f>IB_1.1.sz.mell.!E57</f>
        <v>0</v>
      </c>
      <c r="J57" s="212">
        <f>IB_5.1.sz.mell!E54</f>
        <v>0</v>
      </c>
      <c r="K57" s="70">
        <f t="shared" si="5"/>
        <v>0</v>
      </c>
    </row>
    <row r="58" spans="1:11" s="126" customFormat="1" ht="12" customHeight="1" thickBot="1" x14ac:dyDescent="0.25">
      <c r="A58" s="136" t="str">
        <f>IB_1.1.sz.mell.!A58</f>
        <v>48</v>
      </c>
      <c r="B58" s="75" t="str">
        <f>IB_1.1.sz.mell.!B58</f>
        <v>Részesedések megszűnéséhez kapcsolódó bevételek</v>
      </c>
      <c r="C58" s="242">
        <f>IB_1.1.sz.mell.!C58</f>
        <v>0</v>
      </c>
      <c r="D58" s="212">
        <f>IB_5.1.sz.mell!C55</f>
        <v>0</v>
      </c>
      <c r="E58" s="71">
        <f t="shared" si="3"/>
        <v>0</v>
      </c>
      <c r="F58" s="242">
        <f>IB_1.1.sz.mell.!D58</f>
        <v>0</v>
      </c>
      <c r="G58" s="212">
        <f>IB_5.1.sz.mell!D55</f>
        <v>0</v>
      </c>
      <c r="H58" s="71">
        <f t="shared" si="4"/>
        <v>0</v>
      </c>
      <c r="I58" s="242">
        <f>IB_1.1.sz.mell.!E58</f>
        <v>0</v>
      </c>
      <c r="J58" s="212">
        <f>IB_5.1.sz.mell!E55</f>
        <v>0</v>
      </c>
      <c r="K58" s="71">
        <f t="shared" si="5"/>
        <v>0</v>
      </c>
    </row>
    <row r="59" spans="1:11" s="126" customFormat="1" ht="12" customHeight="1" thickBot="1" x14ac:dyDescent="0.25">
      <c r="A59" s="18">
        <f>IB_1.1.sz.mell.!A59</f>
        <v>49</v>
      </c>
      <c r="B59" s="13" t="str">
        <f>IB_1.1.sz.mell.!B59</f>
        <v>Működési célú átvett pénzeszközök (50+ … + 52)</v>
      </c>
      <c r="C59" s="115">
        <f>SUM(C60:C62)</f>
        <v>0</v>
      </c>
      <c r="D59" s="115" t="e">
        <f>SUM(D60:D62)+IB_5.2.sz.mell!C35+IB_5.3.sz.mell!C35+#REF!+#REF!+#REF!+#REF!+#REF!+#REF!+#REF!+#REF!+#REF!</f>
        <v>#REF!</v>
      </c>
      <c r="E59" s="66" t="e">
        <f t="shared" si="3"/>
        <v>#REF!</v>
      </c>
      <c r="F59" s="115">
        <f>SUM(F60:F62)</f>
        <v>0</v>
      </c>
      <c r="G59" s="115" t="e">
        <f>SUM(G60:G62)+IB_5.2.sz.mell!D35+IB_5.3.sz.mell!D35+#REF!+#REF!+#REF!+#REF!+#REF!+#REF!+#REF!+#REF!+#REF!</f>
        <v>#REF!</v>
      </c>
      <c r="H59" s="66" t="e">
        <f t="shared" si="4"/>
        <v>#REF!</v>
      </c>
      <c r="I59" s="115">
        <f>SUM(I60:I62)</f>
        <v>172480</v>
      </c>
      <c r="J59" s="115" t="e">
        <f>SUM(J60:J62)+IB_5.2.sz.mell!E35+IB_5.3.sz.mell!E35+#REF!+#REF!+#REF!+#REF!+#REF!+#REF!+#REF!+#REF!+#REF!</f>
        <v>#REF!</v>
      </c>
      <c r="K59" s="66" t="e">
        <f t="shared" si="5"/>
        <v>#REF!</v>
      </c>
    </row>
    <row r="60" spans="1:11" s="126" customFormat="1" ht="12" customHeight="1" x14ac:dyDescent="0.2">
      <c r="A60" s="134" t="str">
        <f>IB_1.1.sz.mell.!A60</f>
        <v>50</v>
      </c>
      <c r="B60" s="127" t="str">
        <f>IB_1.1.sz.mell.!B60</f>
        <v>Működési célú garancia- és kezességvállalásból megtérülések ÁH-n kívülről</v>
      </c>
      <c r="C60" s="209">
        <f>IB_1.1.sz.mell.!C60</f>
        <v>0</v>
      </c>
      <c r="D60" s="209">
        <f>IB_5.1.sz.mell!C57</f>
        <v>0</v>
      </c>
      <c r="E60" s="68">
        <f t="shared" si="3"/>
        <v>0</v>
      </c>
      <c r="F60" s="209">
        <f>IB_1.1.sz.mell.!D60</f>
        <v>0</v>
      </c>
      <c r="G60" s="209">
        <f>IB_5.1.sz.mell!D57</f>
        <v>0</v>
      </c>
      <c r="H60" s="68">
        <f t="shared" si="4"/>
        <v>0</v>
      </c>
      <c r="I60" s="209">
        <f>IB_1.1.sz.mell.!E60</f>
        <v>0</v>
      </c>
      <c r="J60" s="209">
        <f>IB_5.1.sz.mell!E57</f>
        <v>0</v>
      </c>
      <c r="K60" s="68">
        <f t="shared" si="5"/>
        <v>0</v>
      </c>
    </row>
    <row r="61" spans="1:11" s="126" customFormat="1" ht="12" customHeight="1" x14ac:dyDescent="0.2">
      <c r="A61" s="135" t="str">
        <f>IB_1.1.sz.mell.!A61</f>
        <v>51</v>
      </c>
      <c r="B61" s="128" t="str">
        <f>IB_1.1.sz.mell.!B61</f>
        <v>Működési célú visszatérítendő támogatások, kölcsönök visszatér. ÁH-n kívülről</v>
      </c>
      <c r="C61" s="215">
        <f>IB_1.1.sz.mell.!C61</f>
        <v>0</v>
      </c>
      <c r="D61" s="209">
        <f>IB_5.1.sz.mell!C58</f>
        <v>0</v>
      </c>
      <c r="E61" s="67">
        <f t="shared" si="3"/>
        <v>0</v>
      </c>
      <c r="F61" s="215">
        <f>IB_1.1.sz.mell.!D61</f>
        <v>0</v>
      </c>
      <c r="G61" s="209">
        <f>IB_5.1.sz.mell!D58</f>
        <v>0</v>
      </c>
      <c r="H61" s="67">
        <f t="shared" si="4"/>
        <v>0</v>
      </c>
      <c r="I61" s="209">
        <f>IB_1.1.sz.mell.!E61</f>
        <v>0</v>
      </c>
      <c r="J61" s="209">
        <f>IB_5.1.sz.mell!E58</f>
        <v>0</v>
      </c>
      <c r="K61" s="67">
        <f t="shared" si="5"/>
        <v>0</v>
      </c>
    </row>
    <row r="62" spans="1:11" s="126" customFormat="1" ht="12" customHeight="1" x14ac:dyDescent="0.2">
      <c r="A62" s="135" t="str">
        <f>IB_1.1.sz.mell.!A62</f>
        <v>52</v>
      </c>
      <c r="B62" s="128" t="str">
        <f>IB_1.1.sz.mell.!B62</f>
        <v>Egyéb működési célú átvett pénzeszköz</v>
      </c>
      <c r="C62" s="215">
        <f>IB_1.1.sz.mell.!C62</f>
        <v>0</v>
      </c>
      <c r="D62" s="209">
        <f>IB_5.1.sz.mell!C59</f>
        <v>0</v>
      </c>
      <c r="E62" s="67">
        <f t="shared" si="3"/>
        <v>0</v>
      </c>
      <c r="F62" s="215">
        <f>IB_1.1.sz.mell.!D62</f>
        <v>0</v>
      </c>
      <c r="G62" s="209">
        <f>IB_5.1.sz.mell!D59</f>
        <v>0</v>
      </c>
      <c r="H62" s="67">
        <f t="shared" si="4"/>
        <v>0</v>
      </c>
      <c r="I62" s="209">
        <f>IB_1.1.sz.mell.!E62</f>
        <v>172480</v>
      </c>
      <c r="J62" s="209">
        <f>IB_5.1.sz.mell!E59</f>
        <v>172480</v>
      </c>
      <c r="K62" s="67">
        <f t="shared" si="5"/>
        <v>0</v>
      </c>
    </row>
    <row r="63" spans="1:11" s="126" customFormat="1" ht="12" customHeight="1" thickBot="1" x14ac:dyDescent="0.25">
      <c r="A63" s="136" t="str">
        <f>IB_1.1.sz.mell.!A63</f>
        <v>53</v>
      </c>
      <c r="B63" s="75" t="str">
        <f>IB_1.1.sz.mell.!B63</f>
        <v xml:space="preserve">  52-ből EU-s támogatás (közvetlen)</v>
      </c>
      <c r="C63" s="217">
        <f>IB_1.1.sz.mell.!C63</f>
        <v>0</v>
      </c>
      <c r="D63" s="209">
        <f>IB_5.1.sz.mell!C60</f>
        <v>0</v>
      </c>
      <c r="E63" s="69">
        <f t="shared" si="3"/>
        <v>0</v>
      </c>
      <c r="F63" s="217">
        <f>IB_1.1.sz.mell.!D63</f>
        <v>0</v>
      </c>
      <c r="G63" s="209">
        <f>IB_5.1.sz.mell!D60</f>
        <v>0</v>
      </c>
      <c r="H63" s="69">
        <f t="shared" si="4"/>
        <v>0</v>
      </c>
      <c r="I63" s="209">
        <f>IB_1.1.sz.mell.!E63</f>
        <v>0</v>
      </c>
      <c r="J63" s="209">
        <f>IB_5.1.sz.mell!E60</f>
        <v>0</v>
      </c>
      <c r="K63" s="69">
        <f t="shared" si="5"/>
        <v>0</v>
      </c>
    </row>
    <row r="64" spans="1:11" s="126" customFormat="1" ht="12" customHeight="1" thickBot="1" x14ac:dyDescent="0.25">
      <c r="A64" s="18">
        <f>IB_1.1.sz.mell.!A64</f>
        <v>54</v>
      </c>
      <c r="B64" s="73" t="str">
        <f>IB_1.1.sz.mell.!B64</f>
        <v>Felhalmozási célú átvett pénzeszközök (55+…+57)</v>
      </c>
      <c r="C64" s="115">
        <f>SUM(C65:C67)</f>
        <v>0</v>
      </c>
      <c r="D64" s="115" t="e">
        <f>SUM(D65:D67)+IB_5.2.sz.mell!C36+IB_5.3.sz.mell!C36+#REF!+#REF!+#REF!+#REF!+#REF!+#REF!+#REF!+#REF!+#REF!</f>
        <v>#REF!</v>
      </c>
      <c r="E64" s="66" t="e">
        <f t="shared" si="3"/>
        <v>#REF!</v>
      </c>
      <c r="F64" s="115">
        <f>SUM(F65:F67)</f>
        <v>0</v>
      </c>
      <c r="G64" s="115" t="e">
        <f>SUM(G65:G67)+IB_5.2.sz.mell!D36+IB_5.3.sz.mell!D36+#REF!+#REF!+#REF!+#REF!+#REF!+#REF!+#REF!+#REF!+#REF!</f>
        <v>#REF!</v>
      </c>
      <c r="H64" s="66" t="e">
        <f t="shared" si="4"/>
        <v>#REF!</v>
      </c>
      <c r="I64" s="115">
        <f>SUM(I65:I67)</f>
        <v>0</v>
      </c>
      <c r="J64" s="115" t="e">
        <f>SUM(J65:J67)+IB_5.2.sz.mell!E36+IB_5.3.sz.mell!E36+#REF!+#REF!+#REF!+#REF!+#REF!+#REF!+#REF!+#REF!+#REF!</f>
        <v>#REF!</v>
      </c>
      <c r="K64" s="66" t="e">
        <f t="shared" si="5"/>
        <v>#REF!</v>
      </c>
    </row>
    <row r="65" spans="1:11" s="126" customFormat="1" ht="12" customHeight="1" x14ac:dyDescent="0.2">
      <c r="A65" s="134" t="str">
        <f>IB_1.1.sz.mell.!A65</f>
        <v>55</v>
      </c>
      <c r="B65" s="127" t="str">
        <f>IB_1.1.sz.mell.!B65</f>
        <v>Felhalm. célú garancia- és kezességvállalásból megtérülések ÁH-n kívülről</v>
      </c>
      <c r="C65" s="212">
        <f>IB_1.1.sz.mell.!C65</f>
        <v>0</v>
      </c>
      <c r="D65" s="212">
        <f>IB_5.1.sz.mell!C62</f>
        <v>0</v>
      </c>
      <c r="E65" s="70">
        <f t="shared" si="3"/>
        <v>0</v>
      </c>
      <c r="F65" s="212">
        <f>IB_1.1.sz.mell.!D65</f>
        <v>0</v>
      </c>
      <c r="G65" s="212">
        <f>IB_5.1.sz.mell!D62</f>
        <v>0</v>
      </c>
      <c r="H65" s="70">
        <f t="shared" si="4"/>
        <v>0</v>
      </c>
      <c r="I65" s="212">
        <f>IB_1.1.sz.mell.!E65</f>
        <v>0</v>
      </c>
      <c r="J65" s="212">
        <f>IB_5.1.sz.mell!E62</f>
        <v>0</v>
      </c>
      <c r="K65" s="70">
        <f t="shared" si="5"/>
        <v>0</v>
      </c>
    </row>
    <row r="66" spans="1:11" s="126" customFormat="1" ht="12" customHeight="1" x14ac:dyDescent="0.2">
      <c r="A66" s="135" t="str">
        <f>IB_1.1.sz.mell.!A66</f>
        <v>56</v>
      </c>
      <c r="B66" s="128" t="str">
        <f>IB_1.1.sz.mell.!B66</f>
        <v>Felhalm. célú visszatérítendő támogatások, kölcsönök visszatér. ÁH-n kívülről</v>
      </c>
      <c r="C66" s="212">
        <f>IB_1.1.sz.mell.!C66</f>
        <v>0</v>
      </c>
      <c r="D66" s="212">
        <f>IB_5.1.sz.mell!C63</f>
        <v>0</v>
      </c>
      <c r="E66" s="70">
        <f t="shared" si="3"/>
        <v>0</v>
      </c>
      <c r="F66" s="212">
        <f>IB_1.1.sz.mell.!D66</f>
        <v>0</v>
      </c>
      <c r="G66" s="212">
        <f>IB_5.1.sz.mell!D63</f>
        <v>0</v>
      </c>
      <c r="H66" s="70">
        <f t="shared" si="4"/>
        <v>0</v>
      </c>
      <c r="I66" s="212">
        <f>IB_1.1.sz.mell.!E66</f>
        <v>0</v>
      </c>
      <c r="J66" s="212">
        <f>IB_5.1.sz.mell!E63</f>
        <v>0</v>
      </c>
      <c r="K66" s="70">
        <f t="shared" si="5"/>
        <v>0</v>
      </c>
    </row>
    <row r="67" spans="1:11" s="126" customFormat="1" ht="12" customHeight="1" x14ac:dyDescent="0.2">
      <c r="A67" s="135" t="str">
        <f>IB_1.1.sz.mell.!A67</f>
        <v>57</v>
      </c>
      <c r="B67" s="128" t="str">
        <f>IB_1.1.sz.mell.!B67</f>
        <v>Egyéb felhalmozási célú átvett pénzeszköz</v>
      </c>
      <c r="C67" s="212">
        <f>IB_1.1.sz.mell.!C67</f>
        <v>0</v>
      </c>
      <c r="D67" s="212">
        <f>IB_5.1.sz.mell!C64</f>
        <v>0</v>
      </c>
      <c r="E67" s="70">
        <f t="shared" si="3"/>
        <v>0</v>
      </c>
      <c r="F67" s="212">
        <f>IB_1.1.sz.mell.!D67</f>
        <v>0</v>
      </c>
      <c r="G67" s="212">
        <f>IB_5.1.sz.mell!D64</f>
        <v>0</v>
      </c>
      <c r="H67" s="70">
        <f t="shared" si="4"/>
        <v>0</v>
      </c>
      <c r="I67" s="212">
        <f>IB_1.1.sz.mell.!E67</f>
        <v>0</v>
      </c>
      <c r="J67" s="212">
        <f>IB_5.1.sz.mell!E64</f>
        <v>0</v>
      </c>
      <c r="K67" s="70">
        <f t="shared" si="5"/>
        <v>0</v>
      </c>
    </row>
    <row r="68" spans="1:11" s="126" customFormat="1" ht="12" customHeight="1" thickBot="1" x14ac:dyDescent="0.25">
      <c r="A68" s="136" t="str">
        <f>IB_1.1.sz.mell.!A68</f>
        <v>58</v>
      </c>
      <c r="B68" s="75" t="str">
        <f>IB_1.1.sz.mell.!B68</f>
        <v xml:space="preserve">  57-ből EU-s támogatás (közvetlen)</v>
      </c>
      <c r="C68" s="212">
        <f>IB_1.1.sz.mell.!C68</f>
        <v>0</v>
      </c>
      <c r="D68" s="212">
        <f>IB_5.1.sz.mell!C65</f>
        <v>0</v>
      </c>
      <c r="E68" s="70">
        <f t="shared" si="3"/>
        <v>0</v>
      </c>
      <c r="F68" s="212">
        <f>IB_1.1.sz.mell.!D68</f>
        <v>0</v>
      </c>
      <c r="G68" s="212">
        <f>IB_5.1.sz.mell!D65</f>
        <v>0</v>
      </c>
      <c r="H68" s="70">
        <f t="shared" si="4"/>
        <v>0</v>
      </c>
      <c r="I68" s="212">
        <f>IB_1.1.sz.mell.!E68</f>
        <v>0</v>
      </c>
      <c r="J68" s="212">
        <f>IB_5.1.sz.mell!E65</f>
        <v>0</v>
      </c>
      <c r="K68" s="70">
        <f t="shared" si="5"/>
        <v>0</v>
      </c>
    </row>
    <row r="69" spans="1:11" s="126" customFormat="1" ht="12" customHeight="1" thickBot="1" x14ac:dyDescent="0.25">
      <c r="A69" s="18">
        <f>IB_1.1.sz.mell.!A69</f>
        <v>59</v>
      </c>
      <c r="B69" s="13" t="str">
        <f>IB_1.1.sz.mell.!B69</f>
        <v>KÖLTSÉGVETÉSI BEVÉTELEK ÖSSZESEN: (1+16+23+31+43+49+54)</v>
      </c>
      <c r="C69" s="121">
        <f>C64+C59+C53+C41+C33+C26+C11</f>
        <v>1486222396</v>
      </c>
      <c r="D69" s="121" t="e">
        <f>D64+D59+D53+D41+D33+D26+D11</f>
        <v>#REF!</v>
      </c>
      <c r="E69" s="146" t="e">
        <f t="shared" si="3"/>
        <v>#REF!</v>
      </c>
      <c r="F69" s="121">
        <f>F64+F59+F53+F41+F33+F26+F11</f>
        <v>1513874743</v>
      </c>
      <c r="G69" s="121" t="e">
        <f>G64+G59+G53+G41+G33+G26+G11</f>
        <v>#REF!</v>
      </c>
      <c r="H69" s="146" t="e">
        <f t="shared" si="4"/>
        <v>#REF!</v>
      </c>
      <c r="I69" s="121">
        <f>I64+I59+I53+I41+I33+I26+I11</f>
        <v>804212099</v>
      </c>
      <c r="J69" s="121" t="e">
        <f>J64+J59+J53+J41+J33+J26+J11</f>
        <v>#REF!</v>
      </c>
      <c r="K69" s="146" t="e">
        <f t="shared" si="5"/>
        <v>#REF!</v>
      </c>
    </row>
    <row r="70" spans="1:11" s="126" customFormat="1" ht="12" customHeight="1" thickBot="1" x14ac:dyDescent="0.25">
      <c r="A70" s="57">
        <f>IB_1.1.sz.mell.!A70</f>
        <v>60</v>
      </c>
      <c r="B70" s="73" t="str">
        <f>IB_1.1.sz.mell.!B70</f>
        <v>Hitel-, kölcsönfelvétel államháztartáson kívülről  (61+…+63)</v>
      </c>
      <c r="C70" s="115">
        <f>SUM(C71:C73)</f>
        <v>0</v>
      </c>
      <c r="D70" s="115">
        <f>SUM(D71:D73)</f>
        <v>0</v>
      </c>
      <c r="E70" s="66">
        <f t="shared" si="3"/>
        <v>0</v>
      </c>
      <c r="F70" s="115">
        <f>SUM(F71:F73)</f>
        <v>0</v>
      </c>
      <c r="G70" s="115">
        <f>SUM(G71:G73)</f>
        <v>0</v>
      </c>
      <c r="H70" s="66">
        <f t="shared" si="4"/>
        <v>0</v>
      </c>
      <c r="I70" s="115">
        <f>SUM(I71:I73)</f>
        <v>0</v>
      </c>
      <c r="J70" s="115">
        <f>SUM(J71:J73)</f>
        <v>0</v>
      </c>
      <c r="K70" s="66">
        <f t="shared" si="5"/>
        <v>0</v>
      </c>
    </row>
    <row r="71" spans="1:11" s="126" customFormat="1" ht="12" customHeight="1" x14ac:dyDescent="0.2">
      <c r="A71" s="134" t="str">
        <f>IB_1.1.sz.mell.!A71</f>
        <v>61</v>
      </c>
      <c r="B71" s="127" t="str">
        <f>IB_1.1.sz.mell.!B71</f>
        <v>Hosszú lejáratú  hitelek, kölcsönök felvétele</v>
      </c>
      <c r="C71" s="212">
        <f>IB_1.1.sz.mell.!C71</f>
        <v>0</v>
      </c>
      <c r="D71" s="212">
        <f>IB_5.1.sz.mell!C68</f>
        <v>0</v>
      </c>
      <c r="E71" s="70">
        <f t="shared" si="3"/>
        <v>0</v>
      </c>
      <c r="F71" s="212">
        <f>IB_1.1.sz.mell.!D71</f>
        <v>0</v>
      </c>
      <c r="G71" s="212">
        <f>IB_5.1.sz.mell!D68</f>
        <v>0</v>
      </c>
      <c r="H71" s="70">
        <f t="shared" si="4"/>
        <v>0</v>
      </c>
      <c r="I71" s="212">
        <f>IB_1.1.sz.mell.!E71</f>
        <v>0</v>
      </c>
      <c r="J71" s="212">
        <f>IB_5.1.sz.mell!E68</f>
        <v>0</v>
      </c>
      <c r="K71" s="70">
        <f t="shared" si="5"/>
        <v>0</v>
      </c>
    </row>
    <row r="72" spans="1:11" s="126" customFormat="1" ht="12" customHeight="1" x14ac:dyDescent="0.2">
      <c r="A72" s="135" t="str">
        <f>IB_1.1.sz.mell.!A72</f>
        <v>62</v>
      </c>
      <c r="B72" s="128" t="str">
        <f>IB_1.1.sz.mell.!B72</f>
        <v>Likviditási célú  hitelek, kölcsönök felvétele pénzügyi vállalkozástól</v>
      </c>
      <c r="C72" s="212">
        <f>IB_1.1.sz.mell.!C72</f>
        <v>0</v>
      </c>
      <c r="D72" s="212">
        <f>IB_5.1.sz.mell!C69</f>
        <v>0</v>
      </c>
      <c r="E72" s="70">
        <f t="shared" si="3"/>
        <v>0</v>
      </c>
      <c r="F72" s="212">
        <f>IB_1.1.sz.mell.!D72</f>
        <v>0</v>
      </c>
      <c r="G72" s="212">
        <f>IB_5.1.sz.mell!D69</f>
        <v>0</v>
      </c>
      <c r="H72" s="70">
        <f t="shared" si="4"/>
        <v>0</v>
      </c>
      <c r="I72" s="212">
        <f>IB_1.1.sz.mell.!E72</f>
        <v>0</v>
      </c>
      <c r="J72" s="212">
        <f>IB_5.1.sz.mell!E69</f>
        <v>0</v>
      </c>
      <c r="K72" s="70">
        <f t="shared" si="5"/>
        <v>0</v>
      </c>
    </row>
    <row r="73" spans="1:11" s="126" customFormat="1" ht="12" customHeight="1" thickBot="1" x14ac:dyDescent="0.25">
      <c r="A73" s="136" t="str">
        <f>IB_1.1.sz.mell.!A73</f>
        <v>63</v>
      </c>
      <c r="B73" s="156" t="str">
        <f>IB_1.1.sz.mell.!B73</f>
        <v>Rövid lejáratú  hitelek, kölcsönök felvétele pénzügyi vállalkozástól</v>
      </c>
      <c r="C73" s="212">
        <f>IB_1.1.sz.mell.!C73</f>
        <v>0</v>
      </c>
      <c r="D73" s="212">
        <f>IB_5.1.sz.mell!C70</f>
        <v>0</v>
      </c>
      <c r="E73" s="70">
        <f t="shared" si="3"/>
        <v>0</v>
      </c>
      <c r="F73" s="212">
        <f>IB_1.1.sz.mell.!D73</f>
        <v>0</v>
      </c>
      <c r="G73" s="212">
        <f>IB_5.1.sz.mell!D70</f>
        <v>0</v>
      </c>
      <c r="H73" s="70">
        <f t="shared" si="4"/>
        <v>0</v>
      </c>
      <c r="I73" s="212">
        <f>IB_1.1.sz.mell.!E73</f>
        <v>0</v>
      </c>
      <c r="J73" s="212">
        <f>IB_5.1.sz.mell!E70</f>
        <v>0</v>
      </c>
      <c r="K73" s="70">
        <f t="shared" si="5"/>
        <v>0</v>
      </c>
    </row>
    <row r="74" spans="1:11" s="126" customFormat="1" ht="12" customHeight="1" thickBot="1" x14ac:dyDescent="0.25">
      <c r="A74" s="57">
        <f>IB_1.1.sz.mell.!A74</f>
        <v>64</v>
      </c>
      <c r="B74" s="73" t="str">
        <f>IB_1.1.sz.mell.!B74</f>
        <v>Belföldi értékpapírok bevételei (65 +…+ 68)</v>
      </c>
      <c r="C74" s="115">
        <f>SUM(C75:C78)</f>
        <v>0</v>
      </c>
      <c r="D74" s="115">
        <f>SUM(D75:D78)</f>
        <v>0</v>
      </c>
      <c r="E74" s="66">
        <f t="shared" si="3"/>
        <v>0</v>
      </c>
      <c r="F74" s="115">
        <f>SUM(F75:F78)</f>
        <v>0</v>
      </c>
      <c r="G74" s="115">
        <f>SUM(G75:G78)</f>
        <v>0</v>
      </c>
      <c r="H74" s="66">
        <f t="shared" si="4"/>
        <v>0</v>
      </c>
      <c r="I74" s="115">
        <f>SUM(I75:I78)</f>
        <v>0</v>
      </c>
      <c r="J74" s="115">
        <f>SUM(J75:J78)</f>
        <v>0</v>
      </c>
      <c r="K74" s="66">
        <f t="shared" si="5"/>
        <v>0</v>
      </c>
    </row>
    <row r="75" spans="1:11" s="126" customFormat="1" ht="12" customHeight="1" x14ac:dyDescent="0.2">
      <c r="A75" s="134" t="str">
        <f>IB_1.1.sz.mell.!A75</f>
        <v>65</v>
      </c>
      <c r="B75" s="127" t="str">
        <f>IB_1.1.sz.mell.!B75</f>
        <v>Forgatási célú belföldi értékpapírok beváltása,  értékesítése</v>
      </c>
      <c r="C75" s="212">
        <f>IB_1.1.sz.mell.!C75</f>
        <v>0</v>
      </c>
      <c r="D75" s="212">
        <f>IB_5.1.sz.mell!C72</f>
        <v>0</v>
      </c>
      <c r="E75" s="70">
        <f t="shared" si="3"/>
        <v>0</v>
      </c>
      <c r="F75" s="212">
        <f>IB_1.1.sz.mell.!D75</f>
        <v>0</v>
      </c>
      <c r="G75" s="212">
        <f>IB_5.1.sz.mell!D72</f>
        <v>0</v>
      </c>
      <c r="H75" s="70">
        <f t="shared" si="4"/>
        <v>0</v>
      </c>
      <c r="I75" s="212">
        <f>IB_1.1.sz.mell.!E75</f>
        <v>0</v>
      </c>
      <c r="J75" s="212">
        <f>IB_5.1.sz.mell!E72</f>
        <v>0</v>
      </c>
      <c r="K75" s="70">
        <f t="shared" si="5"/>
        <v>0</v>
      </c>
    </row>
    <row r="76" spans="1:11" s="126" customFormat="1" ht="12" customHeight="1" x14ac:dyDescent="0.2">
      <c r="A76" s="135" t="str">
        <f>IB_1.1.sz.mell.!A76</f>
        <v>66</v>
      </c>
      <c r="B76" s="127" t="str">
        <f>IB_1.1.sz.mell.!B76</f>
        <v>Éven belüli lejáratú belföldi értékpapírok kibocsátása</v>
      </c>
      <c r="C76" s="212">
        <f>IB_1.1.sz.mell.!C76</f>
        <v>0</v>
      </c>
      <c r="D76" s="212">
        <f>IB_5.1.sz.mell!C73</f>
        <v>0</v>
      </c>
      <c r="E76" s="70">
        <f t="shared" si="3"/>
        <v>0</v>
      </c>
      <c r="F76" s="212">
        <f>IB_1.1.sz.mell.!D76</f>
        <v>0</v>
      </c>
      <c r="G76" s="212">
        <f>IB_5.1.sz.mell!D73</f>
        <v>0</v>
      </c>
      <c r="H76" s="70">
        <f t="shared" si="4"/>
        <v>0</v>
      </c>
      <c r="I76" s="212">
        <f>IB_1.1.sz.mell.!E76</f>
        <v>0</v>
      </c>
      <c r="J76" s="212">
        <f>IB_5.1.sz.mell!E73</f>
        <v>0</v>
      </c>
      <c r="K76" s="70">
        <f t="shared" si="5"/>
        <v>0</v>
      </c>
    </row>
    <row r="77" spans="1:11" s="126" customFormat="1" ht="12" customHeight="1" x14ac:dyDescent="0.2">
      <c r="A77" s="135" t="str">
        <f>IB_1.1.sz.mell.!A77</f>
        <v>67</v>
      </c>
      <c r="B77" s="127" t="str">
        <f>IB_1.1.sz.mell.!B77</f>
        <v>Befektetési célú belföldi értékpapírok beváltása,  értékesítése</v>
      </c>
      <c r="C77" s="212">
        <f>IB_1.1.sz.mell.!C77</f>
        <v>0</v>
      </c>
      <c r="D77" s="212">
        <f>IB_5.1.sz.mell!C74</f>
        <v>0</v>
      </c>
      <c r="E77" s="70">
        <f t="shared" si="3"/>
        <v>0</v>
      </c>
      <c r="F77" s="212">
        <f>IB_1.1.sz.mell.!D77</f>
        <v>0</v>
      </c>
      <c r="G77" s="212">
        <f>IB_5.1.sz.mell!D74</f>
        <v>0</v>
      </c>
      <c r="H77" s="70">
        <f t="shared" si="4"/>
        <v>0</v>
      </c>
      <c r="I77" s="212">
        <f>IB_1.1.sz.mell.!E77</f>
        <v>0</v>
      </c>
      <c r="J77" s="212">
        <f>IB_5.1.sz.mell!E74</f>
        <v>0</v>
      </c>
      <c r="K77" s="70">
        <f t="shared" si="5"/>
        <v>0</v>
      </c>
    </row>
    <row r="78" spans="1:11" s="126" customFormat="1" ht="12" customHeight="1" thickBot="1" x14ac:dyDescent="0.25">
      <c r="A78" s="136" t="str">
        <f>IB_1.1.sz.mell.!A78</f>
        <v>68</v>
      </c>
      <c r="B78" s="174" t="str">
        <f>IB_1.1.sz.mell.!B78</f>
        <v>Éven túli lejáratú belföldi értékpapírok kibocsátása</v>
      </c>
      <c r="C78" s="212">
        <f>IB_1.1.sz.mell.!C78</f>
        <v>0</v>
      </c>
      <c r="D78" s="212">
        <f>IB_5.1.sz.mell!C75</f>
        <v>0</v>
      </c>
      <c r="E78" s="70">
        <f t="shared" si="3"/>
        <v>0</v>
      </c>
      <c r="F78" s="212">
        <f>IB_1.1.sz.mell.!D78</f>
        <v>0</v>
      </c>
      <c r="G78" s="212">
        <f>IB_5.1.sz.mell!D75</f>
        <v>0</v>
      </c>
      <c r="H78" s="70">
        <f t="shared" si="4"/>
        <v>0</v>
      </c>
      <c r="I78" s="212">
        <f>IB_1.1.sz.mell.!E78</f>
        <v>0</v>
      </c>
      <c r="J78" s="212">
        <f>IB_5.1.sz.mell!E75</f>
        <v>0</v>
      </c>
      <c r="K78" s="70">
        <f t="shared" si="5"/>
        <v>0</v>
      </c>
    </row>
    <row r="79" spans="1:11" s="126" customFormat="1" ht="12" customHeight="1" thickBot="1" x14ac:dyDescent="0.25">
      <c r="A79" s="57">
        <f>IB_1.1.sz.mell.!A79</f>
        <v>69</v>
      </c>
      <c r="B79" s="73" t="str">
        <f>IB_1.1.sz.mell.!B79</f>
        <v>Maradvány igénybevétele (70 + 71)</v>
      </c>
      <c r="C79" s="115">
        <f>SUM(C80:C81)</f>
        <v>784196835</v>
      </c>
      <c r="D79" s="345" t="e">
        <f>SUM(D80:D81)</f>
        <v>#REF!</v>
      </c>
      <c r="E79" s="66" t="e">
        <f t="shared" si="3"/>
        <v>#REF!</v>
      </c>
      <c r="F79" s="115">
        <f>SUM(F80:F81)</f>
        <v>784196835</v>
      </c>
      <c r="G79" s="345" t="e">
        <f>SUM(G80:G81)</f>
        <v>#REF!</v>
      </c>
      <c r="H79" s="66" t="e">
        <f t="shared" si="4"/>
        <v>#REF!</v>
      </c>
      <c r="I79" s="115">
        <f>SUM(I80:I81)</f>
        <v>784196835</v>
      </c>
      <c r="J79" s="345" t="e">
        <f>SUM(J80:J81)</f>
        <v>#REF!</v>
      </c>
      <c r="K79" s="66" t="e">
        <f t="shared" si="5"/>
        <v>#REF!</v>
      </c>
    </row>
    <row r="80" spans="1:11" s="126" customFormat="1" ht="12" customHeight="1" x14ac:dyDescent="0.2">
      <c r="A80" s="333" t="str">
        <f>IB_1.1.sz.mell.!A80</f>
        <v>70</v>
      </c>
      <c r="B80" s="127" t="str">
        <f>IB_1.1.sz.mell.!B80</f>
        <v>Előző év költségvetési maradványának igénybevétele</v>
      </c>
      <c r="C80" s="212">
        <f>IB_1.1.sz.mell.!C80</f>
        <v>784196835</v>
      </c>
      <c r="D80" s="212" t="e">
        <f>IB_5.1.sz.mell!C77+IB_5.2.sz.mell!C39+IB_5.3.sz.mell!C39+#REF!+#REF!+#REF!+#REF!+#REF!+#REF!+#REF!+#REF!+#REF!</f>
        <v>#REF!</v>
      </c>
      <c r="E80" s="70" t="e">
        <f t="shared" si="3"/>
        <v>#REF!</v>
      </c>
      <c r="F80" s="212">
        <f>IB_1.1.sz.mell.!D80</f>
        <v>784196835</v>
      </c>
      <c r="G80" s="212" t="e">
        <f>IB_5.1.sz.mell!D77+IB_5.2.sz.mell!D39+IB_5.3.sz.mell!D39+#REF!+#REF!+#REF!+#REF!+#REF!+#REF!+#REF!+#REF!+#REF!</f>
        <v>#REF!</v>
      </c>
      <c r="H80" s="70" t="e">
        <f t="shared" si="4"/>
        <v>#REF!</v>
      </c>
      <c r="I80" s="212">
        <f>IB_1.1.sz.mell.!E80</f>
        <v>784196835</v>
      </c>
      <c r="J80" s="212" t="e">
        <f>IB_5.1.sz.mell!E77+IB_5.2.sz.mell!E39+IB_5.3.sz.mell!E39+#REF!+#REF!+#REF!+#REF!+#REF!+#REF!+#REF!+#REF!+#REF!</f>
        <v>#REF!</v>
      </c>
      <c r="K80" s="70" t="e">
        <f t="shared" si="5"/>
        <v>#REF!</v>
      </c>
    </row>
    <row r="81" spans="1:11" s="126" customFormat="1" ht="12" customHeight="1" x14ac:dyDescent="0.2">
      <c r="A81" s="336" t="str">
        <f>IB_1.1.sz.mell.!A81</f>
        <v>71</v>
      </c>
      <c r="B81" s="74" t="str">
        <f>IB_1.1.sz.mell.!B81</f>
        <v>Előző év vállalkozási maradványának igénybevétele</v>
      </c>
      <c r="C81" s="212">
        <f>IB_1.1.sz.mell.!C81</f>
        <v>0</v>
      </c>
      <c r="D81" s="212" t="e">
        <f>IB_5.1.sz.mell!C78+IB_5.2.sz.mell!C40+IB_5.3.sz.mell!C40+#REF!+#REF!+#REF!+#REF!+#REF!+#REF!+#REF!+#REF!+#REF!</f>
        <v>#REF!</v>
      </c>
      <c r="E81" s="70" t="e">
        <f t="shared" si="3"/>
        <v>#REF!</v>
      </c>
      <c r="F81" s="212">
        <f>IB_1.1.sz.mell.!D81</f>
        <v>0</v>
      </c>
      <c r="G81" s="212" t="e">
        <f>IB_5.1.sz.mell!D78+IB_5.2.sz.mell!D40+IB_5.3.sz.mell!D40+#REF!+#REF!+#REF!+#REF!+#REF!+#REF!+#REF!+#REF!+#REF!</f>
        <v>#REF!</v>
      </c>
      <c r="H81" s="70" t="e">
        <f t="shared" si="4"/>
        <v>#REF!</v>
      </c>
      <c r="I81" s="212">
        <f>IB_1.1.sz.mell.!E81</f>
        <v>0</v>
      </c>
      <c r="J81" s="212" t="e">
        <f>IB_5.1.sz.mell!E78+IB_5.2.sz.mell!E40+IB_5.3.sz.mell!E40+#REF!+#REF!+#REF!+#REF!+#REF!+#REF!+#REF!+#REF!+#REF!</f>
        <v>#REF!</v>
      </c>
      <c r="K81" s="70" t="e">
        <f t="shared" si="5"/>
        <v>#REF!</v>
      </c>
    </row>
    <row r="82" spans="1:11" s="126" customFormat="1" ht="12" customHeight="1" thickBot="1" x14ac:dyDescent="0.25">
      <c r="A82" s="343">
        <f>A81+1</f>
        <v>72</v>
      </c>
      <c r="B82" s="328" t="str">
        <f>IB_5.2.sz.mell!B41</f>
        <v>Irányító szervi (önkormányzati) támogatás (intézményfinanszírozás)</v>
      </c>
      <c r="C82" s="344"/>
      <c r="D82" s="346" t="e">
        <f>+IB_5.2.sz.mell!C41+IB_5.3.sz.mell!C41+#REF!+#REF!+#REF!+#REF!+#REF!+#REF!+#REF!+#REF!+#REF!</f>
        <v>#REF!</v>
      </c>
      <c r="E82" s="353"/>
      <c r="F82" s="344"/>
      <c r="G82" s="357" t="e">
        <f>+IB_5.2.sz.mell!D41+IB_5.3.sz.mell!D41+#REF!+#REF!+#REF!+#REF!+#REF!+#REF!+#REF!+#REF!+#REF!</f>
        <v>#REF!</v>
      </c>
      <c r="H82" s="353"/>
      <c r="I82" s="344"/>
      <c r="J82" s="346" t="e">
        <f>+IB_5.2.sz.mell!I41+IB_5.3.sz.mell!I41+#REF!+#REF!+#REF!+#REF!+#REF!+#REF!+#REF!+#REF!+#REF!</f>
        <v>#REF!</v>
      </c>
      <c r="K82" s="353"/>
    </row>
    <row r="83" spans="1:11" s="126" customFormat="1" ht="12" customHeight="1" thickBot="1" x14ac:dyDescent="0.25">
      <c r="A83" s="335">
        <f t="shared" ref="A83:A97" si="6">A82+1</f>
        <v>73</v>
      </c>
      <c r="B83" s="73" t="str">
        <f>IB_1.1.sz.mell.!B82</f>
        <v>Belföldi finanszírozás bevételei (73 + … + 75)</v>
      </c>
      <c r="C83" s="115">
        <f>SUM(C84:C86)</f>
        <v>0</v>
      </c>
      <c r="D83" s="115">
        <f>SUM(D84:D86)</f>
        <v>0</v>
      </c>
      <c r="E83" s="66">
        <f t="shared" si="3"/>
        <v>0</v>
      </c>
      <c r="F83" s="115">
        <f>SUM(F84:F86)</f>
        <v>0</v>
      </c>
      <c r="G83" s="115">
        <f>SUM(G84:G86)</f>
        <v>0</v>
      </c>
      <c r="H83" s="66">
        <f t="shared" ref="H83:H95" si="7">G83-F83</f>
        <v>0</v>
      </c>
      <c r="I83" s="115">
        <f>SUM(I84:I86)</f>
        <v>0</v>
      </c>
      <c r="J83" s="115">
        <f>SUM(J84:J86)</f>
        <v>0</v>
      </c>
      <c r="K83" s="66">
        <f t="shared" ref="K83:K95" si="8">J83-I83</f>
        <v>0</v>
      </c>
    </row>
    <row r="84" spans="1:11" s="126" customFormat="1" ht="12" customHeight="1" x14ac:dyDescent="0.2">
      <c r="A84" s="333">
        <f t="shared" si="6"/>
        <v>74</v>
      </c>
      <c r="B84" s="127" t="str">
        <f>IB_1.1.sz.mell.!B83</f>
        <v>Államháztartáson belüli megelőlegezések</v>
      </c>
      <c r="C84" s="212">
        <f>IB_1.1.sz.mell.!C83</f>
        <v>0</v>
      </c>
      <c r="D84" s="212">
        <f>IB_5.1.sz.mell!C80</f>
        <v>0</v>
      </c>
      <c r="E84" s="70">
        <f t="shared" si="3"/>
        <v>0</v>
      </c>
      <c r="F84" s="212">
        <f>IB_1.1.sz.mell.!D83</f>
        <v>0</v>
      </c>
      <c r="G84" s="212">
        <f>IB_5.1.sz.mell!D80</f>
        <v>0</v>
      </c>
      <c r="H84" s="70">
        <f t="shared" si="7"/>
        <v>0</v>
      </c>
      <c r="I84" s="212">
        <f>IB_1.1.sz.mell.!E83</f>
        <v>0</v>
      </c>
      <c r="J84" s="212">
        <f>IB_5.1.sz.mell!E80</f>
        <v>0</v>
      </c>
      <c r="K84" s="70">
        <f t="shared" si="8"/>
        <v>0</v>
      </c>
    </row>
    <row r="85" spans="1:11" s="126" customFormat="1" ht="12" customHeight="1" x14ac:dyDescent="0.2">
      <c r="A85" s="336">
        <f t="shared" si="6"/>
        <v>75</v>
      </c>
      <c r="B85" s="128" t="str">
        <f>IB_1.1.sz.mell.!B84</f>
        <v>Államháztartáson belüli megelőlegezések törlesztése</v>
      </c>
      <c r="C85" s="212">
        <f>IB_1.1.sz.mell.!C84</f>
        <v>0</v>
      </c>
      <c r="D85" s="212">
        <f>IB_5.1.sz.mell!C81</f>
        <v>0</v>
      </c>
      <c r="E85" s="70">
        <f t="shared" si="3"/>
        <v>0</v>
      </c>
      <c r="F85" s="212">
        <f>IB_1.1.sz.mell.!D84</f>
        <v>0</v>
      </c>
      <c r="G85" s="212">
        <f>IB_5.1.sz.mell!D81</f>
        <v>0</v>
      </c>
      <c r="H85" s="70">
        <f t="shared" si="7"/>
        <v>0</v>
      </c>
      <c r="I85" s="212">
        <f>IB_1.1.sz.mell.!E84</f>
        <v>0</v>
      </c>
      <c r="J85" s="212">
        <f>IB_5.1.sz.mell!E81</f>
        <v>0</v>
      </c>
      <c r="K85" s="70">
        <f t="shared" si="8"/>
        <v>0</v>
      </c>
    </row>
    <row r="86" spans="1:11" s="126" customFormat="1" ht="12" customHeight="1" thickBot="1" x14ac:dyDescent="0.25">
      <c r="A86" s="334">
        <f t="shared" si="6"/>
        <v>76</v>
      </c>
      <c r="B86" s="75" t="str">
        <f>IB_1.1.sz.mell.!B85</f>
        <v>Lekötött betétek megszüntetése</v>
      </c>
      <c r="C86" s="212">
        <f>IB_1.1.sz.mell.!C85</f>
        <v>0</v>
      </c>
      <c r="D86" s="212">
        <f>IB_5.1.sz.mell!C82</f>
        <v>0</v>
      </c>
      <c r="E86" s="70">
        <f t="shared" si="3"/>
        <v>0</v>
      </c>
      <c r="F86" s="212">
        <f>IB_1.1.sz.mell.!D85</f>
        <v>0</v>
      </c>
      <c r="G86" s="212">
        <f>IB_5.1.sz.mell!D82</f>
        <v>0</v>
      </c>
      <c r="H86" s="70">
        <f t="shared" si="7"/>
        <v>0</v>
      </c>
      <c r="I86" s="212">
        <f>IB_1.1.sz.mell.!E85</f>
        <v>0</v>
      </c>
      <c r="J86" s="212">
        <f>IB_5.1.sz.mell!E82</f>
        <v>0</v>
      </c>
      <c r="K86" s="70">
        <f t="shared" si="8"/>
        <v>0</v>
      </c>
    </row>
    <row r="87" spans="1:11" s="126" customFormat="1" ht="12" customHeight="1" thickBot="1" x14ac:dyDescent="0.25">
      <c r="A87" s="335">
        <f t="shared" si="6"/>
        <v>77</v>
      </c>
      <c r="B87" s="73" t="str">
        <f>IB_1.1.sz.mell.!B86</f>
        <v>Külföldi finanszírozás bevételei (77+…+80)</v>
      </c>
      <c r="C87" s="115">
        <f>SUM(C88:C91)</f>
        <v>0</v>
      </c>
      <c r="D87" s="115">
        <f>SUM(D88:D91)</f>
        <v>0</v>
      </c>
      <c r="E87" s="66">
        <f t="shared" si="3"/>
        <v>0</v>
      </c>
      <c r="F87" s="115">
        <f>SUM(F88:F91)</f>
        <v>0</v>
      </c>
      <c r="G87" s="115">
        <f>SUM(G88:G91)</f>
        <v>0</v>
      </c>
      <c r="H87" s="66">
        <f t="shared" si="7"/>
        <v>0</v>
      </c>
      <c r="I87" s="115">
        <f>SUM(I88:I91)</f>
        <v>0</v>
      </c>
      <c r="J87" s="115">
        <f>SUM(J88:J91)</f>
        <v>0</v>
      </c>
      <c r="K87" s="66">
        <f t="shared" si="8"/>
        <v>0</v>
      </c>
    </row>
    <row r="88" spans="1:11" s="126" customFormat="1" ht="12" customHeight="1" x14ac:dyDescent="0.2">
      <c r="A88" s="337">
        <f t="shared" si="6"/>
        <v>78</v>
      </c>
      <c r="B88" s="127" t="str">
        <f>IB_1.1.sz.mell.!B87</f>
        <v>Forgatási célú külföldi értékpapírok beváltása,  értékesítése</v>
      </c>
      <c r="C88" s="212">
        <f>IB_1.1.sz.mell.!C87</f>
        <v>0</v>
      </c>
      <c r="D88" s="212">
        <f>IB_5.1.sz.mell!C84</f>
        <v>0</v>
      </c>
      <c r="E88" s="70">
        <f t="shared" si="3"/>
        <v>0</v>
      </c>
      <c r="F88" s="212">
        <f>IB_1.1.sz.mell.!D87</f>
        <v>0</v>
      </c>
      <c r="G88" s="212">
        <f>IB_5.1.sz.mell!D84</f>
        <v>0</v>
      </c>
      <c r="H88" s="70">
        <f t="shared" si="7"/>
        <v>0</v>
      </c>
      <c r="I88" s="212">
        <f>IB_1.1.sz.mell.!E87</f>
        <v>0</v>
      </c>
      <c r="J88" s="212">
        <f>IB_5.1.sz.mell!E84</f>
        <v>0</v>
      </c>
      <c r="K88" s="70">
        <f t="shared" si="8"/>
        <v>0</v>
      </c>
    </row>
    <row r="89" spans="1:11" s="126" customFormat="1" ht="12" customHeight="1" x14ac:dyDescent="0.2">
      <c r="A89" s="338">
        <f t="shared" si="6"/>
        <v>79</v>
      </c>
      <c r="B89" s="128" t="str">
        <f>IB_1.1.sz.mell.!B88</f>
        <v>Befektetési célú külföldi értékpapírok beváltása,  értékesítése</v>
      </c>
      <c r="C89" s="212">
        <f>IB_1.1.sz.mell.!C88</f>
        <v>0</v>
      </c>
      <c r="D89" s="212">
        <f>IB_5.1.sz.mell!C85</f>
        <v>0</v>
      </c>
      <c r="E89" s="70">
        <f t="shared" si="3"/>
        <v>0</v>
      </c>
      <c r="F89" s="212">
        <f>IB_1.1.sz.mell.!D88</f>
        <v>0</v>
      </c>
      <c r="G89" s="212">
        <f>IB_5.1.sz.mell!D85</f>
        <v>0</v>
      </c>
      <c r="H89" s="70">
        <f t="shared" si="7"/>
        <v>0</v>
      </c>
      <c r="I89" s="212">
        <f>IB_1.1.sz.mell.!E88</f>
        <v>0</v>
      </c>
      <c r="J89" s="212">
        <f>IB_5.1.sz.mell!E85</f>
        <v>0</v>
      </c>
      <c r="K89" s="70">
        <f t="shared" si="8"/>
        <v>0</v>
      </c>
    </row>
    <row r="90" spans="1:11" s="126" customFormat="1" ht="12" customHeight="1" x14ac:dyDescent="0.2">
      <c r="A90" s="338">
        <f t="shared" si="6"/>
        <v>80</v>
      </c>
      <c r="B90" s="128" t="str">
        <f>IB_1.1.sz.mell.!B89</f>
        <v>Külföldi értékpapírok kibocsátása</v>
      </c>
      <c r="C90" s="212">
        <f>IB_1.1.sz.mell.!C89</f>
        <v>0</v>
      </c>
      <c r="D90" s="212">
        <f>IB_5.1.sz.mell!C86</f>
        <v>0</v>
      </c>
      <c r="E90" s="70">
        <f t="shared" ref="E90:E95" si="9">D90-C90</f>
        <v>0</v>
      </c>
      <c r="F90" s="212">
        <f>IB_1.1.sz.mell.!D89</f>
        <v>0</v>
      </c>
      <c r="G90" s="212">
        <f>IB_5.1.sz.mell!D86</f>
        <v>0</v>
      </c>
      <c r="H90" s="70">
        <f t="shared" si="7"/>
        <v>0</v>
      </c>
      <c r="I90" s="212">
        <f>IB_1.1.sz.mell.!E89</f>
        <v>0</v>
      </c>
      <c r="J90" s="212">
        <f>IB_5.1.sz.mell!E86</f>
        <v>0</v>
      </c>
      <c r="K90" s="70">
        <f t="shared" si="8"/>
        <v>0</v>
      </c>
    </row>
    <row r="91" spans="1:11" s="126" customFormat="1" ht="12" customHeight="1" thickBot="1" x14ac:dyDescent="0.25">
      <c r="A91" s="339">
        <f t="shared" si="6"/>
        <v>81</v>
      </c>
      <c r="B91" s="75" t="str">
        <f>IB_1.1.sz.mell.!B90</f>
        <v>Külföldi hitelek, kölcsönök felvétele</v>
      </c>
      <c r="C91" s="212">
        <f>IB_1.1.sz.mell.!C90</f>
        <v>0</v>
      </c>
      <c r="D91" s="212">
        <f>IB_5.1.sz.mell!C87</f>
        <v>0</v>
      </c>
      <c r="E91" s="70">
        <f t="shared" si="9"/>
        <v>0</v>
      </c>
      <c r="F91" s="212">
        <f>IB_1.1.sz.mell.!D90</f>
        <v>0</v>
      </c>
      <c r="G91" s="212">
        <f>IB_5.1.sz.mell!D87</f>
        <v>0</v>
      </c>
      <c r="H91" s="70">
        <f t="shared" si="7"/>
        <v>0</v>
      </c>
      <c r="I91" s="212">
        <f>IB_1.1.sz.mell.!E90</f>
        <v>0</v>
      </c>
      <c r="J91" s="212">
        <f>IB_5.1.sz.mell!E87</f>
        <v>0</v>
      </c>
      <c r="K91" s="70">
        <f t="shared" si="8"/>
        <v>0</v>
      </c>
    </row>
    <row r="92" spans="1:11" s="126" customFormat="1" ht="12" customHeight="1" thickBot="1" x14ac:dyDescent="0.25">
      <c r="A92" s="335">
        <f t="shared" si="6"/>
        <v>82</v>
      </c>
      <c r="B92" s="73" t="str">
        <f>IB_1.1.sz.mell.!B91</f>
        <v>Váltóbevételek</v>
      </c>
      <c r="C92" s="115">
        <f>IB_1.1.sz.mell.!C91</f>
        <v>0</v>
      </c>
      <c r="D92" s="115">
        <f>IB_5.1.sz.mell!C88</f>
        <v>0</v>
      </c>
      <c r="E92" s="154">
        <f t="shared" si="9"/>
        <v>0</v>
      </c>
      <c r="F92" s="115">
        <f>IB_1.1.sz.mell.!D91</f>
        <v>0</v>
      </c>
      <c r="G92" s="115">
        <f>IB_5.1.sz.mell!D88</f>
        <v>0</v>
      </c>
      <c r="H92" s="154">
        <f t="shared" si="7"/>
        <v>0</v>
      </c>
      <c r="I92" s="115">
        <f>IB_1.1.sz.mell.!E91</f>
        <v>0</v>
      </c>
      <c r="J92" s="115">
        <f>IB_5.1.sz.mell!E88</f>
        <v>0</v>
      </c>
      <c r="K92" s="154">
        <f t="shared" si="8"/>
        <v>0</v>
      </c>
    </row>
    <row r="93" spans="1:11" s="126" customFormat="1" ht="13.5" customHeight="1" thickBot="1" x14ac:dyDescent="0.25">
      <c r="A93" s="335">
        <f t="shared" si="6"/>
        <v>83</v>
      </c>
      <c r="B93" s="73" t="str">
        <f>IB_1.1.sz.mell.!B92</f>
        <v>Adóssághoz nem kapcsolódó származékos ügyletek bevételei</v>
      </c>
      <c r="C93" s="115">
        <f>IB_1.1.sz.mell.!C92</f>
        <v>0</v>
      </c>
      <c r="D93" s="115">
        <f>IB_5.1.sz.mell!C89</f>
        <v>0</v>
      </c>
      <c r="E93" s="154">
        <f t="shared" si="9"/>
        <v>0</v>
      </c>
      <c r="F93" s="115">
        <f>IB_1.1.sz.mell.!D92</f>
        <v>0</v>
      </c>
      <c r="G93" s="115">
        <f>IB_5.1.sz.mell!D89</f>
        <v>0</v>
      </c>
      <c r="H93" s="154">
        <f t="shared" si="7"/>
        <v>0</v>
      </c>
      <c r="I93" s="115">
        <f>IB_1.1.sz.mell.!E92</f>
        <v>0</v>
      </c>
      <c r="J93" s="115">
        <f>IB_5.1.sz.mell!E89</f>
        <v>0</v>
      </c>
      <c r="K93" s="154">
        <f t="shared" si="8"/>
        <v>0</v>
      </c>
    </row>
    <row r="94" spans="1:11" s="126" customFormat="1" ht="15.75" customHeight="1" thickBot="1" x14ac:dyDescent="0.25">
      <c r="A94" s="335">
        <f t="shared" si="6"/>
        <v>84</v>
      </c>
      <c r="B94" s="130" t="s">
        <v>442</v>
      </c>
      <c r="C94" s="121">
        <f>C70+C74+C79+C83+C87+C92+C93</f>
        <v>784196835</v>
      </c>
      <c r="D94" s="121" t="e">
        <f>D70+D74+D79+D83+D87+D92+D93</f>
        <v>#REF!</v>
      </c>
      <c r="E94" s="146" t="e">
        <f t="shared" si="9"/>
        <v>#REF!</v>
      </c>
      <c r="F94" s="121">
        <f>F70+F74+F79+F83+F87+F92+F93</f>
        <v>784196835</v>
      </c>
      <c r="G94" s="121" t="e">
        <f>G70+G74+G79+G83+G87+G92+G93</f>
        <v>#REF!</v>
      </c>
      <c r="H94" s="146" t="e">
        <f t="shared" si="7"/>
        <v>#REF!</v>
      </c>
      <c r="I94" s="121">
        <f>I70+I74+I79+I83+I87+I92+I93</f>
        <v>784196835</v>
      </c>
      <c r="J94" s="121" t="e">
        <f>J70+J74+J79+J83+J87+J92+J93</f>
        <v>#REF!</v>
      </c>
      <c r="K94" s="146" t="e">
        <f t="shared" si="8"/>
        <v>#REF!</v>
      </c>
    </row>
    <row r="95" spans="1:11" s="126" customFormat="1" ht="11.25" customHeight="1" thickBot="1" x14ac:dyDescent="0.25">
      <c r="A95" s="341">
        <f t="shared" si="6"/>
        <v>85</v>
      </c>
      <c r="B95" s="342" t="s">
        <v>443</v>
      </c>
      <c r="C95" s="364">
        <f>C69+C94</f>
        <v>2270419231</v>
      </c>
      <c r="D95" s="364" t="e">
        <f>D69+D94</f>
        <v>#REF!</v>
      </c>
      <c r="E95" s="365" t="e">
        <f t="shared" si="9"/>
        <v>#REF!</v>
      </c>
      <c r="F95" s="364">
        <f>F69+F94</f>
        <v>2298071578</v>
      </c>
      <c r="G95" s="364" t="e">
        <f>G69+G94</f>
        <v>#REF!</v>
      </c>
      <c r="H95" s="365" t="e">
        <f t="shared" si="7"/>
        <v>#REF!</v>
      </c>
      <c r="I95" s="364">
        <f>I69+I94</f>
        <v>1588408934</v>
      </c>
      <c r="J95" s="364" t="e">
        <f>J69+J94</f>
        <v>#REF!</v>
      </c>
      <c r="K95" s="365" t="e">
        <f t="shared" si="8"/>
        <v>#REF!</v>
      </c>
    </row>
    <row r="96" spans="1:11" s="126" customFormat="1" ht="15.2" customHeight="1" thickBot="1" x14ac:dyDescent="0.25">
      <c r="A96" s="340">
        <f t="shared" si="6"/>
        <v>86</v>
      </c>
      <c r="B96" s="131" t="str">
        <f>B82</f>
        <v>Irányító szervi (önkormányzati) támogatás (intézményfinanszírozás)</v>
      </c>
      <c r="C96" s="359"/>
      <c r="D96" s="347" t="e">
        <f>D82</f>
        <v>#REF!</v>
      </c>
      <c r="E96" s="354"/>
      <c r="F96" s="359"/>
      <c r="G96" s="347" t="e">
        <f>G82</f>
        <v>#REF!</v>
      </c>
      <c r="H96" s="354"/>
      <c r="I96" s="359"/>
      <c r="J96" s="347" t="e">
        <f>J82</f>
        <v>#REF!</v>
      </c>
      <c r="K96" s="354"/>
    </row>
    <row r="97" spans="1:11" ht="16.5" customHeight="1" thickBot="1" x14ac:dyDescent="0.3">
      <c r="A97" s="335">
        <f t="shared" si="6"/>
        <v>87</v>
      </c>
      <c r="B97" s="130" t="s">
        <v>447</v>
      </c>
      <c r="C97" s="359"/>
      <c r="D97" s="347" t="e">
        <f>SUM(D95:D96)</f>
        <v>#REF!</v>
      </c>
      <c r="E97" s="354"/>
      <c r="F97" s="359"/>
      <c r="G97" s="347" t="e">
        <f>SUM(G95:G96)</f>
        <v>#REF!</v>
      </c>
      <c r="H97" s="354"/>
      <c r="I97" s="359"/>
      <c r="J97" s="347" t="e">
        <f>SUM(J95:J96)</f>
        <v>#REF!</v>
      </c>
      <c r="K97" s="354"/>
    </row>
    <row r="98" spans="1:11" ht="16.5" customHeight="1" thickBot="1" x14ac:dyDescent="0.3">
      <c r="A98" s="563" t="s">
        <v>29</v>
      </c>
      <c r="B98" s="563"/>
      <c r="C98" s="563"/>
      <c r="D98" s="563"/>
      <c r="E98" s="563"/>
      <c r="F98" s="563"/>
      <c r="G98" s="563"/>
      <c r="H98" s="563"/>
      <c r="I98" s="563"/>
      <c r="J98" s="563"/>
      <c r="K98" s="356" t="str">
        <f>K7</f>
        <v>Forintban!</v>
      </c>
    </row>
    <row r="99" spans="1:11" x14ac:dyDescent="0.25">
      <c r="A99" s="528" t="s">
        <v>44</v>
      </c>
      <c r="B99" s="530" t="s">
        <v>260</v>
      </c>
      <c r="C99" s="559" t="str">
        <f>C8</f>
        <v>2024. évi</v>
      </c>
      <c r="D99" s="560"/>
      <c r="E99" s="560"/>
      <c r="F99" s="560"/>
      <c r="G99" s="560"/>
      <c r="H99" s="560"/>
      <c r="I99" s="560"/>
      <c r="J99" s="560"/>
      <c r="K99" s="561"/>
    </row>
    <row r="100" spans="1:11" ht="48.75" thickBot="1" x14ac:dyDescent="0.3">
      <c r="A100" s="529"/>
      <c r="B100" s="531"/>
      <c r="C100" s="245" t="str">
        <f t="shared" ref="C100:K100" si="10">C9</f>
        <v>Eredeti
előirányzat 1.1.sz.mell. adatai</v>
      </c>
      <c r="D100" s="246" t="str">
        <f t="shared" si="10"/>
        <v>Eredeti
előirányzat 9.1., 9.2.,…,9.12.sz.mell. adatai</v>
      </c>
      <c r="E100" s="247" t="str">
        <f t="shared" si="10"/>
        <v>Eltérés</v>
      </c>
      <c r="F100" s="245" t="str">
        <f t="shared" si="10"/>
        <v>Módosított
előirányzat 1.1.sz.mell. Adatai</v>
      </c>
      <c r="G100" s="246" t="str">
        <f t="shared" si="10"/>
        <v>Módosított
előirányzat 9.1., 9.2.,…,9.12.sz.mell. adatai</v>
      </c>
      <c r="H100" s="247" t="str">
        <f t="shared" si="10"/>
        <v>Eltérés</v>
      </c>
      <c r="I100" s="245" t="str">
        <f t="shared" si="10"/>
        <v>Teljesítés 1.1.sz.mell. adatai</v>
      </c>
      <c r="J100" s="246" t="str">
        <f t="shared" si="10"/>
        <v>Teljesítés 9.1., 9.2.,…,9.12.sz.mell. adatai</v>
      </c>
      <c r="K100" s="247" t="str">
        <f t="shared" si="10"/>
        <v>Eltérés</v>
      </c>
    </row>
    <row r="101" spans="1:11" s="125" customFormat="1" ht="12" customHeight="1" thickBot="1" x14ac:dyDescent="0.25">
      <c r="A101" s="18" t="str">
        <f>A10</f>
        <v>A</v>
      </c>
      <c r="B101" s="19" t="str">
        <f>B10</f>
        <v>B</v>
      </c>
      <c r="C101" s="19" t="str">
        <f t="shared" ref="C101:J101" si="11">C10</f>
        <v>C</v>
      </c>
      <c r="D101" s="19" t="str">
        <f t="shared" si="11"/>
        <v>D</v>
      </c>
      <c r="E101" s="19" t="str">
        <f t="shared" si="11"/>
        <v>E</v>
      </c>
      <c r="F101" s="19" t="str">
        <f t="shared" si="11"/>
        <v>F</v>
      </c>
      <c r="G101" s="19" t="str">
        <f t="shared" si="11"/>
        <v>G</v>
      </c>
      <c r="H101" s="19" t="str">
        <f t="shared" si="11"/>
        <v>H</v>
      </c>
      <c r="I101" s="19" t="str">
        <f t="shared" si="11"/>
        <v>I</v>
      </c>
      <c r="J101" s="19" t="str">
        <f t="shared" si="11"/>
        <v>J</v>
      </c>
      <c r="K101" s="249" t="s">
        <v>456</v>
      </c>
    </row>
    <row r="102" spans="1:11" ht="12" customHeight="1" thickBot="1" x14ac:dyDescent="0.3">
      <c r="A102" s="122">
        <f>IB_1.1.sz.mell.!A101</f>
        <v>1</v>
      </c>
      <c r="B102" s="17" t="str">
        <f>IB_1.1.sz.mell.!B101</f>
        <v xml:space="preserve">   Működési költségvetés kiadásai (2+…+6)</v>
      </c>
      <c r="C102" s="114">
        <f>SUM(C103:C107)</f>
        <v>1587575239</v>
      </c>
      <c r="D102" s="114" t="e">
        <f>SUM(D103:D107)</f>
        <v>#REF!</v>
      </c>
      <c r="E102" s="146" t="e">
        <f t="shared" ref="E102:E164" si="12">D102-C102</f>
        <v>#REF!</v>
      </c>
      <c r="F102" s="114">
        <f>SUM(F103:F107)</f>
        <v>1609802732</v>
      </c>
      <c r="G102" s="114" t="e">
        <f>SUM(G103:G107)</f>
        <v>#REF!</v>
      </c>
      <c r="H102" s="146" t="e">
        <f t="shared" ref="H102:H151" si="13">G102-F102</f>
        <v>#REF!</v>
      </c>
      <c r="I102" s="114">
        <f>SUM(I103:I107)</f>
        <v>772602576</v>
      </c>
      <c r="J102" s="114" t="e">
        <f>SUM(J103:J107)</f>
        <v>#REF!</v>
      </c>
      <c r="K102" s="146" t="e">
        <f t="shared" ref="K102:K151" si="14">J102-I102</f>
        <v>#REF!</v>
      </c>
    </row>
    <row r="103" spans="1:11" ht="12" customHeight="1" x14ac:dyDescent="0.25">
      <c r="A103" s="142" t="str">
        <f>IB_1.1.sz.mell.!A102</f>
        <v>2</v>
      </c>
      <c r="B103" s="8" t="str">
        <f>IB_1.1.sz.mell.!B102</f>
        <v>Személyi  juttatások</v>
      </c>
      <c r="C103" s="214">
        <f>IB_1.1.sz.mell.!C102</f>
        <v>236589545</v>
      </c>
      <c r="D103" s="214" t="e">
        <f>IB_5.1.sz.mell!C95+IB_5.2.sz.mell!C45+IB_5.3.sz.mell!C45+#REF!+#REF!+#REF!+#REF!+#REF!+#REF!+#REF!+#REF!+#REF!</f>
        <v>#REF!</v>
      </c>
      <c r="E103" s="162" t="e">
        <f t="shared" si="12"/>
        <v>#REF!</v>
      </c>
      <c r="F103" s="214">
        <f>IB_1.1.sz.mell.!D102</f>
        <v>251784984</v>
      </c>
      <c r="G103" s="214" t="e">
        <f>IB_5.1.sz.mell!D95+IB_5.2.sz.mell!D45+IB_5.3.sz.mell!D45+#REF!+#REF!+#REF!+#REF!+#REF!+#REF!+#REF!+#REF!+#REF!</f>
        <v>#REF!</v>
      </c>
      <c r="H103" s="162" t="e">
        <f t="shared" si="13"/>
        <v>#REF!</v>
      </c>
      <c r="I103" s="214">
        <f>IB_1.1.sz.mell.!E102</f>
        <v>115879227</v>
      </c>
      <c r="J103" s="214" t="e">
        <f>IB_5.1.sz.mell!E95+IB_5.2.sz.mell!E45+IB_5.3.sz.mell!E45+#REF!+#REF!+#REF!+#REF!+#REF!+#REF!+#REF!+#REF!+#REF!</f>
        <v>#REF!</v>
      </c>
      <c r="K103" s="162" t="e">
        <f t="shared" si="14"/>
        <v>#REF!</v>
      </c>
    </row>
    <row r="104" spans="1:11" ht="12" customHeight="1" x14ac:dyDescent="0.25">
      <c r="A104" s="135" t="str">
        <f>IB_1.1.sz.mell.!A103</f>
        <v>3</v>
      </c>
      <c r="B104" s="6" t="str">
        <f>IB_1.1.sz.mell.!B103</f>
        <v>Munkaadókat terhelő járulékok és szociális hozzájárulási adó</v>
      </c>
      <c r="C104" s="215">
        <f>IB_1.1.sz.mell.!C103</f>
        <v>31349206</v>
      </c>
      <c r="D104" s="215" t="e">
        <f>IB_5.1.sz.mell!C96+IB_5.2.sz.mell!C46+IB_5.3.sz.mell!C46+#REF!+#REF!+#REF!+#REF!+#REF!+#REF!+#REF!+#REF!+#REF!</f>
        <v>#REF!</v>
      </c>
      <c r="E104" s="67" t="e">
        <f>D104-C104</f>
        <v>#REF!</v>
      </c>
      <c r="F104" s="215">
        <f>IB_1.1.sz.mell.!D103</f>
        <v>33307153</v>
      </c>
      <c r="G104" s="215" t="e">
        <f>IB_5.1.sz.mell!D96+IB_5.2.sz.mell!D46+IB_5.3.sz.mell!D46+#REF!+#REF!+#REF!+#REF!+#REF!+#REF!+#REF!+#REF!+#REF!</f>
        <v>#REF!</v>
      </c>
      <c r="H104" s="67" t="e">
        <f t="shared" si="13"/>
        <v>#REF!</v>
      </c>
      <c r="I104" s="215">
        <f>IB_1.1.sz.mell.!E103</f>
        <v>15344552</v>
      </c>
      <c r="J104" s="215" t="e">
        <f>IB_5.1.sz.mell!E96+IB_5.2.sz.mell!E46+IB_5.3.sz.mell!E46+#REF!+#REF!+#REF!+#REF!+#REF!+#REF!+#REF!+#REF!+#REF!</f>
        <v>#REF!</v>
      </c>
      <c r="K104" s="67" t="e">
        <f t="shared" si="14"/>
        <v>#REF!</v>
      </c>
    </row>
    <row r="105" spans="1:11" ht="12" customHeight="1" x14ac:dyDescent="0.25">
      <c r="A105" s="135" t="str">
        <f>IB_1.1.sz.mell.!A104</f>
        <v>4</v>
      </c>
      <c r="B105" s="6" t="str">
        <f>IB_1.1.sz.mell.!B104</f>
        <v>Dologi  kiadások</v>
      </c>
      <c r="C105" s="217">
        <f>IB_1.1.sz.mell.!C104</f>
        <v>229341717</v>
      </c>
      <c r="D105" s="217" t="e">
        <f>IB_5.1.sz.mell!C97+IB_5.2.sz.mell!C47+IB_5.3.sz.mell!C47+#REF!+#REF!+#REF!+#REF!+#REF!+#REF!+#REF!+#REF!+#REF!</f>
        <v>#REF!</v>
      </c>
      <c r="E105" s="69" t="e">
        <f t="shared" si="12"/>
        <v>#REF!</v>
      </c>
      <c r="F105" s="217">
        <f>IB_1.1.sz.mell.!D104</f>
        <v>236113274</v>
      </c>
      <c r="G105" s="217" t="e">
        <f>IB_5.1.sz.mell!D97+IB_5.2.sz.mell!D47+IB_5.3.sz.mell!D47+#REF!+#REF!+#REF!+#REF!+#REF!+#REF!+#REF!+#REF!+#REF!</f>
        <v>#REF!</v>
      </c>
      <c r="H105" s="69" t="e">
        <f t="shared" si="13"/>
        <v>#REF!</v>
      </c>
      <c r="I105" s="217">
        <f>IB_1.1.sz.mell.!E104</f>
        <v>103022741</v>
      </c>
      <c r="J105" s="217" t="e">
        <f>IB_5.1.sz.mell!E97+IB_5.2.sz.mell!E47+IB_5.3.sz.mell!E47+#REF!+#REF!+#REF!+#REF!+#REF!+#REF!+#REF!+#REF!+#REF!</f>
        <v>#REF!</v>
      </c>
      <c r="K105" s="69" t="e">
        <f t="shared" si="14"/>
        <v>#REF!</v>
      </c>
    </row>
    <row r="106" spans="1:11" ht="12" customHeight="1" x14ac:dyDescent="0.25">
      <c r="A106" s="135" t="str">
        <f>IB_1.1.sz.mell.!A105</f>
        <v>5</v>
      </c>
      <c r="B106" s="9" t="str">
        <f>IB_1.1.sz.mell.!B105</f>
        <v>Ellátottak pénzbeli juttatásai</v>
      </c>
      <c r="C106" s="217">
        <f>IB_1.1.sz.mell.!C105</f>
        <v>15710000</v>
      </c>
      <c r="D106" s="217" t="e">
        <f>IB_5.1.sz.mell!C98+IB_5.2.sz.mell!C48+IB_5.3.sz.mell!C48+#REF!+#REF!+#REF!+#REF!+#REF!+#REF!+#REF!+#REF!+#REF!</f>
        <v>#REF!</v>
      </c>
      <c r="E106" s="69" t="e">
        <f t="shared" si="12"/>
        <v>#REF!</v>
      </c>
      <c r="F106" s="217">
        <f>IB_1.1.sz.mell.!D105</f>
        <v>15710000</v>
      </c>
      <c r="G106" s="217" t="e">
        <f>IB_5.1.sz.mell!D98+IB_5.2.sz.mell!D48+IB_5.3.sz.mell!D48+#REF!+#REF!+#REF!+#REF!+#REF!+#REF!+#REF!+#REF!+#REF!</f>
        <v>#REF!</v>
      </c>
      <c r="H106" s="69" t="e">
        <f t="shared" si="13"/>
        <v>#REF!</v>
      </c>
      <c r="I106" s="217">
        <f>IB_1.1.sz.mell.!E105</f>
        <v>6921288</v>
      </c>
      <c r="J106" s="217" t="e">
        <f>IB_5.1.sz.mell!E98+IB_5.2.sz.mell!E48+IB_5.3.sz.mell!E48+#REF!+#REF!+#REF!+#REF!+#REF!+#REF!+#REF!+#REF!+#REF!</f>
        <v>#REF!</v>
      </c>
      <c r="K106" s="69" t="e">
        <f t="shared" si="14"/>
        <v>#REF!</v>
      </c>
    </row>
    <row r="107" spans="1:11" ht="12" customHeight="1" x14ac:dyDescent="0.25">
      <c r="A107" s="135" t="str">
        <f>IB_1.1.sz.mell.!A106</f>
        <v>6</v>
      </c>
      <c r="B107" s="12" t="str">
        <f>IB_1.1.sz.mell.!B106</f>
        <v>Egyéb működési célú kiadások</v>
      </c>
      <c r="C107" s="217">
        <f>IB_1.1.sz.mell.!C106</f>
        <v>1074584771</v>
      </c>
      <c r="D107" s="217" t="e">
        <f>IB_5.1.sz.mell!C99+IB_5.2.sz.mell!C49+IB_5.3.sz.mell!C49+#REF!+#REF!+#REF!+#REF!+#REF!+#REF!+#REF!+#REF!+#REF!</f>
        <v>#REF!</v>
      </c>
      <c r="E107" s="69" t="e">
        <f t="shared" si="12"/>
        <v>#REF!</v>
      </c>
      <c r="F107" s="217">
        <f>IB_1.1.sz.mell.!D106</f>
        <v>1072887321</v>
      </c>
      <c r="G107" s="217" t="e">
        <f>IB_5.1.sz.mell!D99+IB_5.2.sz.mell!D49+IB_5.3.sz.mell!D49+#REF!+#REF!+#REF!+#REF!+#REF!+#REF!+#REF!+#REF!+#REF!</f>
        <v>#REF!</v>
      </c>
      <c r="H107" s="69" t="e">
        <f t="shared" si="13"/>
        <v>#REF!</v>
      </c>
      <c r="I107" s="217">
        <f>IB_1.1.sz.mell.!E106</f>
        <v>531434768</v>
      </c>
      <c r="J107" s="217" t="e">
        <f>IB_5.1.sz.mell!E99+IB_5.2.sz.mell!E49+IB_5.3.sz.mell!E49+#REF!+#REF!+#REF!+#REF!+#REF!+#REF!+#REF!+#REF!+#REF!</f>
        <v>#REF!</v>
      </c>
      <c r="K107" s="69" t="e">
        <f t="shared" si="14"/>
        <v>#REF!</v>
      </c>
    </row>
    <row r="108" spans="1:11" ht="12" customHeight="1" x14ac:dyDescent="0.25">
      <c r="A108" s="135" t="str">
        <f>IB_1.1.sz.mell.!A107</f>
        <v>7</v>
      </c>
      <c r="B108" s="6" t="str">
        <f>IB_1.1.sz.mell.!B107</f>
        <v xml:space="preserve">   - a 6-ból:       - Előző évi elszámolásból származó befizetések</v>
      </c>
      <c r="C108" s="217">
        <f>IB_1.1.sz.mell.!C107</f>
        <v>2870687</v>
      </c>
      <c r="D108" s="217">
        <f>IB_5.1.sz.mell!C100</f>
        <v>2870687</v>
      </c>
      <c r="E108" s="69">
        <f t="shared" si="12"/>
        <v>0</v>
      </c>
      <c r="F108" s="217">
        <f>IB_1.1.sz.mell.!D107</f>
        <v>3141331</v>
      </c>
      <c r="G108" s="217">
        <f>IB_5.1.sz.mell!D100</f>
        <v>3141331</v>
      </c>
      <c r="H108" s="69">
        <f t="shared" si="13"/>
        <v>0</v>
      </c>
      <c r="I108" s="217">
        <f>IB_1.1.sz.mell.!E107</f>
        <v>3141331</v>
      </c>
      <c r="J108" s="217">
        <f>IB_5.1.sz.mell!E100</f>
        <v>3141331</v>
      </c>
      <c r="K108" s="69">
        <f t="shared" si="14"/>
        <v>0</v>
      </c>
    </row>
    <row r="109" spans="1:11" ht="12" customHeight="1" x14ac:dyDescent="0.25">
      <c r="A109" s="135" t="str">
        <f>IB_1.1.sz.mell.!A108</f>
        <v>8</v>
      </c>
      <c r="B109" s="46" t="str">
        <f>IB_1.1.sz.mell.!B108</f>
        <v xml:space="preserve">   - Törvényi előíráson alapuló befizetések</v>
      </c>
      <c r="C109" s="217">
        <f>IB_1.1.sz.mell.!C108</f>
        <v>40628908</v>
      </c>
      <c r="D109" s="217">
        <f>IB_5.1.sz.mell!C101</f>
        <v>40628908</v>
      </c>
      <c r="E109" s="69">
        <f t="shared" si="12"/>
        <v>0</v>
      </c>
      <c r="F109" s="217">
        <f>IB_1.1.sz.mell.!D108</f>
        <v>40628908</v>
      </c>
      <c r="G109" s="217">
        <f>IB_5.1.sz.mell!D101</f>
        <v>40628908</v>
      </c>
      <c r="H109" s="69">
        <f t="shared" si="13"/>
        <v>0</v>
      </c>
      <c r="I109" s="217">
        <f>IB_1.1.sz.mell.!E108</f>
        <v>21127034</v>
      </c>
      <c r="J109" s="217">
        <f>IB_5.1.sz.mell!E101</f>
        <v>21127034</v>
      </c>
      <c r="K109" s="69">
        <f t="shared" si="14"/>
        <v>0</v>
      </c>
    </row>
    <row r="110" spans="1:11" ht="12" customHeight="1" x14ac:dyDescent="0.25">
      <c r="A110" s="135" t="str">
        <f>IB_1.1.sz.mell.!A109</f>
        <v>9</v>
      </c>
      <c r="B110" s="46" t="str">
        <f>IB_1.1.sz.mell.!B109</f>
        <v xml:space="preserve">   - Egyéb elvonások, befizetések</v>
      </c>
      <c r="C110" s="217">
        <f>IB_1.1.sz.mell.!C109</f>
        <v>0</v>
      </c>
      <c r="D110" s="217">
        <f>IB_5.1.sz.mell!C102</f>
        <v>0</v>
      </c>
      <c r="E110" s="69">
        <f t="shared" si="12"/>
        <v>0</v>
      </c>
      <c r="F110" s="217">
        <f>IB_1.1.sz.mell.!D109</f>
        <v>0</v>
      </c>
      <c r="G110" s="217">
        <f>IB_5.1.sz.mell!D102</f>
        <v>0</v>
      </c>
      <c r="H110" s="69">
        <f t="shared" si="13"/>
        <v>0</v>
      </c>
      <c r="I110" s="217">
        <f>IB_1.1.sz.mell.!E109</f>
        <v>0</v>
      </c>
      <c r="J110" s="217">
        <f>IB_5.1.sz.mell!E102</f>
        <v>0</v>
      </c>
      <c r="K110" s="69">
        <f t="shared" si="14"/>
        <v>0</v>
      </c>
    </row>
    <row r="111" spans="1:11" ht="12" customHeight="1" x14ac:dyDescent="0.25">
      <c r="A111" s="135" t="str">
        <f>IB_1.1.sz.mell.!A110</f>
        <v>10</v>
      </c>
      <c r="B111" s="44" t="str">
        <f>IB_1.1.sz.mell.!B110</f>
        <v xml:space="preserve">   - Garancia- és kezességvállalásból kifizetés ÁH-n belülre</v>
      </c>
      <c r="C111" s="217">
        <f>IB_1.1.sz.mell.!C110</f>
        <v>0</v>
      </c>
      <c r="D111" s="217">
        <f>IB_5.1.sz.mell!C103</f>
        <v>0</v>
      </c>
      <c r="E111" s="69">
        <f t="shared" si="12"/>
        <v>0</v>
      </c>
      <c r="F111" s="217">
        <f>IB_1.1.sz.mell.!D110</f>
        <v>0</v>
      </c>
      <c r="G111" s="217">
        <f>IB_5.1.sz.mell!D103</f>
        <v>0</v>
      </c>
      <c r="H111" s="69">
        <f t="shared" si="13"/>
        <v>0</v>
      </c>
      <c r="I111" s="217">
        <f>IB_1.1.sz.mell.!E110</f>
        <v>0</v>
      </c>
      <c r="J111" s="217">
        <f>IB_5.1.sz.mell!E103</f>
        <v>0</v>
      </c>
      <c r="K111" s="69">
        <f t="shared" si="14"/>
        <v>0</v>
      </c>
    </row>
    <row r="112" spans="1:11" ht="12" customHeight="1" x14ac:dyDescent="0.25">
      <c r="A112" s="135" t="str">
        <f>IB_1.1.sz.mell.!A111</f>
        <v>11</v>
      </c>
      <c r="B112" s="45" t="str">
        <f>IB_1.1.sz.mell.!B111</f>
        <v xml:space="preserve">   -Visszatérítendő támogatások, kölcsönök nyújtása ÁH-n belülre</v>
      </c>
      <c r="C112" s="217">
        <f>IB_1.1.sz.mell.!C111</f>
        <v>0</v>
      </c>
      <c r="D112" s="217">
        <f>IB_5.1.sz.mell!C104</f>
        <v>0</v>
      </c>
      <c r="E112" s="69">
        <f t="shared" si="12"/>
        <v>0</v>
      </c>
      <c r="F112" s="217">
        <f>IB_1.1.sz.mell.!D111</f>
        <v>0</v>
      </c>
      <c r="G112" s="217">
        <f>IB_5.1.sz.mell!D104</f>
        <v>0</v>
      </c>
      <c r="H112" s="69">
        <f t="shared" si="13"/>
        <v>0</v>
      </c>
      <c r="I112" s="217">
        <f>IB_1.1.sz.mell.!E111</f>
        <v>0</v>
      </c>
      <c r="J112" s="217">
        <f>IB_5.1.sz.mell!E104</f>
        <v>0</v>
      </c>
      <c r="K112" s="69">
        <f t="shared" si="14"/>
        <v>0</v>
      </c>
    </row>
    <row r="113" spans="1:11" ht="12" customHeight="1" x14ac:dyDescent="0.25">
      <c r="A113" s="135" t="str">
        <f>IB_1.1.sz.mell.!A112</f>
        <v>12</v>
      </c>
      <c r="B113" s="45" t="str">
        <f>IB_1.1.sz.mell.!B112</f>
        <v xml:space="preserve">   - Visszatérítendő támogatások, kölcsönök törlesztése ÁH-n belülre</v>
      </c>
      <c r="C113" s="217">
        <f>IB_1.1.sz.mell.!C112</f>
        <v>0</v>
      </c>
      <c r="D113" s="217">
        <f>IB_5.1.sz.mell!C105</f>
        <v>0</v>
      </c>
      <c r="E113" s="69">
        <f t="shared" si="12"/>
        <v>0</v>
      </c>
      <c r="F113" s="217">
        <f>IB_1.1.sz.mell.!D112</f>
        <v>0</v>
      </c>
      <c r="G113" s="217">
        <f>IB_5.1.sz.mell!D105</f>
        <v>0</v>
      </c>
      <c r="H113" s="69">
        <f t="shared" si="13"/>
        <v>0</v>
      </c>
      <c r="I113" s="217">
        <f>IB_1.1.sz.mell.!E112</f>
        <v>0</v>
      </c>
      <c r="J113" s="217">
        <f>IB_5.1.sz.mell!E105</f>
        <v>0</v>
      </c>
      <c r="K113" s="69">
        <f t="shared" si="14"/>
        <v>0</v>
      </c>
    </row>
    <row r="114" spans="1:11" ht="12" customHeight="1" x14ac:dyDescent="0.25">
      <c r="A114" s="135" t="str">
        <f>IB_1.1.sz.mell.!A113</f>
        <v>13</v>
      </c>
      <c r="B114" s="44" t="str">
        <f>IB_1.1.sz.mell.!B113</f>
        <v xml:space="preserve">   - Egyéb működési célú támogatások ÁH-n belülre</v>
      </c>
      <c r="C114" s="217">
        <f>IB_1.1.sz.mell.!C113</f>
        <v>691461527</v>
      </c>
      <c r="D114" s="217">
        <f>IB_5.1.sz.mell!C106</f>
        <v>690011674</v>
      </c>
      <c r="E114" s="69">
        <f t="shared" si="12"/>
        <v>-1449853</v>
      </c>
      <c r="F114" s="217">
        <f>IB_1.1.sz.mell.!D113</f>
        <v>686418857</v>
      </c>
      <c r="G114" s="217">
        <f>IB_5.1.sz.mell!D106</f>
        <v>684969004</v>
      </c>
      <c r="H114" s="69">
        <f t="shared" si="13"/>
        <v>-1449853</v>
      </c>
      <c r="I114" s="217">
        <f>IB_1.1.sz.mell.!E113</f>
        <v>332677215</v>
      </c>
      <c r="J114" s="217">
        <f>IB_5.1.sz.mell!E106</f>
        <v>332677215</v>
      </c>
      <c r="K114" s="69">
        <f t="shared" si="14"/>
        <v>0</v>
      </c>
    </row>
    <row r="115" spans="1:11" ht="12" customHeight="1" x14ac:dyDescent="0.25">
      <c r="A115" s="135" t="str">
        <f>IB_1.1.sz.mell.!A114</f>
        <v>14</v>
      </c>
      <c r="B115" s="44" t="str">
        <f>IB_1.1.sz.mell.!B114</f>
        <v xml:space="preserve">   - Garancia és kezességvállalásból kifizetés ÁH-n kívülre</v>
      </c>
      <c r="C115" s="217">
        <f>IB_1.1.sz.mell.!C114</f>
        <v>0</v>
      </c>
      <c r="D115" s="217">
        <f>IB_5.1.sz.mell!C107</f>
        <v>0</v>
      </c>
      <c r="E115" s="69">
        <f t="shared" si="12"/>
        <v>0</v>
      </c>
      <c r="F115" s="217">
        <f>IB_1.1.sz.mell.!D114</f>
        <v>0</v>
      </c>
      <c r="G115" s="217">
        <f>IB_5.1.sz.mell!D107</f>
        <v>0</v>
      </c>
      <c r="H115" s="69">
        <f t="shared" si="13"/>
        <v>0</v>
      </c>
      <c r="I115" s="217">
        <f>IB_1.1.sz.mell.!E114</f>
        <v>0</v>
      </c>
      <c r="J115" s="217">
        <f>IB_5.1.sz.mell!E107</f>
        <v>0</v>
      </c>
      <c r="K115" s="69">
        <f t="shared" si="14"/>
        <v>0</v>
      </c>
    </row>
    <row r="116" spans="1:11" ht="12" customHeight="1" x14ac:dyDescent="0.25">
      <c r="A116" s="135" t="str">
        <f>IB_1.1.sz.mell.!A115</f>
        <v>15</v>
      </c>
      <c r="B116" s="45" t="str">
        <f>IB_1.1.sz.mell.!B115</f>
        <v xml:space="preserve">   - Visszatérítendő támogatások, kölcsönök nyújtása ÁH-n kívülre</v>
      </c>
      <c r="C116" s="217">
        <f>IB_1.1.sz.mell.!C115</f>
        <v>0</v>
      </c>
      <c r="D116" s="217">
        <f>IB_5.1.sz.mell!C108</f>
        <v>0</v>
      </c>
      <c r="E116" s="69">
        <f t="shared" si="12"/>
        <v>0</v>
      </c>
      <c r="F116" s="217">
        <f>IB_1.1.sz.mell.!D115</f>
        <v>0</v>
      </c>
      <c r="G116" s="217">
        <f>IB_5.1.sz.mell!D108</f>
        <v>0</v>
      </c>
      <c r="H116" s="69">
        <f t="shared" si="13"/>
        <v>0</v>
      </c>
      <c r="I116" s="217">
        <f>IB_1.1.sz.mell.!E115</f>
        <v>0</v>
      </c>
      <c r="J116" s="217">
        <f>IB_5.1.sz.mell!E108</f>
        <v>0</v>
      </c>
      <c r="K116" s="69">
        <f t="shared" si="14"/>
        <v>0</v>
      </c>
    </row>
    <row r="117" spans="1:11" ht="12" customHeight="1" x14ac:dyDescent="0.25">
      <c r="A117" s="143" t="str">
        <f>IB_1.1.sz.mell.!A116</f>
        <v>16</v>
      </c>
      <c r="B117" s="46" t="str">
        <f>IB_1.1.sz.mell.!B116</f>
        <v xml:space="preserve">   - Árkiegészítések, ártámogatások</v>
      </c>
      <c r="C117" s="217">
        <f>IB_1.1.sz.mell.!C116</f>
        <v>0</v>
      </c>
      <c r="D117" s="217">
        <f>IB_5.1.sz.mell!C109</f>
        <v>0</v>
      </c>
      <c r="E117" s="69">
        <f t="shared" si="12"/>
        <v>0</v>
      </c>
      <c r="F117" s="217">
        <f>IB_1.1.sz.mell.!D116</f>
        <v>0</v>
      </c>
      <c r="G117" s="217">
        <f>IB_5.1.sz.mell!D109</f>
        <v>0</v>
      </c>
      <c r="H117" s="69">
        <f t="shared" si="13"/>
        <v>0</v>
      </c>
      <c r="I117" s="217">
        <f>IB_1.1.sz.mell.!E116</f>
        <v>0</v>
      </c>
      <c r="J117" s="217">
        <f>IB_5.1.sz.mell!E109</f>
        <v>0</v>
      </c>
      <c r="K117" s="69">
        <f t="shared" si="14"/>
        <v>0</v>
      </c>
    </row>
    <row r="118" spans="1:11" ht="12" customHeight="1" x14ac:dyDescent="0.25">
      <c r="A118" s="135" t="str">
        <f>IB_1.1.sz.mell.!A117</f>
        <v>17</v>
      </c>
      <c r="B118" s="46" t="str">
        <f>IB_1.1.sz.mell.!B117</f>
        <v xml:space="preserve">   - Kamattámogatások</v>
      </c>
      <c r="C118" s="217">
        <f>IB_1.1.sz.mell.!C117</f>
        <v>0</v>
      </c>
      <c r="D118" s="217">
        <f>IB_5.1.sz.mell!C110</f>
        <v>0</v>
      </c>
      <c r="E118" s="69">
        <f t="shared" si="12"/>
        <v>0</v>
      </c>
      <c r="F118" s="217">
        <f>IB_1.1.sz.mell.!D117</f>
        <v>0</v>
      </c>
      <c r="G118" s="217">
        <f>IB_5.1.sz.mell!D110</f>
        <v>0</v>
      </c>
      <c r="H118" s="69">
        <f t="shared" si="13"/>
        <v>0</v>
      </c>
      <c r="I118" s="217">
        <f>IB_1.1.sz.mell.!E117</f>
        <v>0</v>
      </c>
      <c r="J118" s="217">
        <f>IB_5.1.sz.mell!E110</f>
        <v>0</v>
      </c>
      <c r="K118" s="69">
        <f t="shared" si="14"/>
        <v>0</v>
      </c>
    </row>
    <row r="119" spans="1:11" ht="12" customHeight="1" x14ac:dyDescent="0.25">
      <c r="A119" s="136" t="str">
        <f>IB_1.1.sz.mell.!A118</f>
        <v>18</v>
      </c>
      <c r="B119" s="46" t="str">
        <f>IB_1.1.sz.mell.!B118</f>
        <v xml:space="preserve">   - Egyéb működési célú támogatások államháztartáson kívülre</v>
      </c>
      <c r="C119" s="217">
        <f>IB_1.1.sz.mell.!C118</f>
        <v>280794688</v>
      </c>
      <c r="D119" s="217">
        <f>IB_5.1.sz.mell!C111</f>
        <v>280794688</v>
      </c>
      <c r="E119" s="69">
        <f t="shared" si="12"/>
        <v>0</v>
      </c>
      <c r="F119" s="217">
        <f>IB_1.1.sz.mell.!D118</f>
        <v>315169658</v>
      </c>
      <c r="G119" s="217">
        <f>IB_5.1.sz.mell!D111</f>
        <v>315169658</v>
      </c>
      <c r="H119" s="69">
        <f t="shared" si="13"/>
        <v>0</v>
      </c>
      <c r="I119" s="217">
        <f>IB_1.1.sz.mell.!E118</f>
        <v>174489188</v>
      </c>
      <c r="J119" s="217">
        <f>IB_5.1.sz.mell!E111</f>
        <v>174489188</v>
      </c>
      <c r="K119" s="69">
        <f t="shared" si="14"/>
        <v>0</v>
      </c>
    </row>
    <row r="120" spans="1:11" ht="12" customHeight="1" x14ac:dyDescent="0.25">
      <c r="A120" s="135" t="str">
        <f>IB_1.1.sz.mell.!A119</f>
        <v>19</v>
      </c>
      <c r="B120" s="9" t="str">
        <f>IB_1.1.sz.mell.!B119</f>
        <v xml:space="preserve">   - Tartalékok</v>
      </c>
      <c r="C120" s="215">
        <f>IB_1.1.sz.mell.!C119</f>
        <v>58828961</v>
      </c>
      <c r="D120" s="217">
        <f>IB_5.1.sz.mell!C112</f>
        <v>58828961</v>
      </c>
      <c r="E120" s="67">
        <f t="shared" si="12"/>
        <v>0</v>
      </c>
      <c r="F120" s="215">
        <f>IB_1.1.sz.mell.!D119</f>
        <v>27528567</v>
      </c>
      <c r="G120" s="217">
        <f>IB_5.1.sz.mell!D112</f>
        <v>27528567</v>
      </c>
      <c r="H120" s="67">
        <f t="shared" si="13"/>
        <v>0</v>
      </c>
      <c r="I120" s="217">
        <f>IB_1.1.sz.mell.!E119</f>
        <v>0</v>
      </c>
      <c r="J120" s="217">
        <f>IB_5.1.sz.mell!E112</f>
        <v>0</v>
      </c>
      <c r="K120" s="67">
        <f t="shared" si="14"/>
        <v>0</v>
      </c>
    </row>
    <row r="121" spans="1:11" ht="12" customHeight="1" x14ac:dyDescent="0.25">
      <c r="A121" s="135" t="str">
        <f>IB_1.1.sz.mell.!A120</f>
        <v>20</v>
      </c>
      <c r="B121" s="6" t="str">
        <f>IB_1.1.sz.mell.!B120</f>
        <v xml:space="preserve">         - a 19-ből:             - Általános tartalék</v>
      </c>
      <c r="C121" s="215">
        <f>IB_1.1.sz.mell.!C120</f>
        <v>10000000</v>
      </c>
      <c r="D121" s="217">
        <f>IB_5.1.sz.mell!C113</f>
        <v>10000000</v>
      </c>
      <c r="E121" s="67">
        <f t="shared" si="12"/>
        <v>0</v>
      </c>
      <c r="F121" s="215">
        <f>IB_1.1.sz.mell.!D120</f>
        <v>8120506</v>
      </c>
      <c r="G121" s="217">
        <f>IB_5.1.sz.mell!D113</f>
        <v>8120506</v>
      </c>
      <c r="H121" s="67">
        <f t="shared" si="13"/>
        <v>0</v>
      </c>
      <c r="I121" s="217">
        <f>IB_1.1.sz.mell.!E120</f>
        <v>0</v>
      </c>
      <c r="J121" s="217">
        <f>IB_5.1.sz.mell!E113</f>
        <v>0</v>
      </c>
      <c r="K121" s="67">
        <f t="shared" si="14"/>
        <v>0</v>
      </c>
    </row>
    <row r="122" spans="1:11" ht="12" customHeight="1" thickBot="1" x14ac:dyDescent="0.3">
      <c r="A122" s="144" t="str">
        <f>IB_1.1.sz.mell.!A121</f>
        <v>21</v>
      </c>
      <c r="B122" s="158" t="str">
        <f>IB_1.1.sz.mell.!B121</f>
        <v xml:space="preserve">                                       - Céltartalék</v>
      </c>
      <c r="C122" s="218">
        <f>IB_1.1.sz.mell.!C121</f>
        <v>48828961</v>
      </c>
      <c r="D122" s="217">
        <f>IB_5.1.sz.mell!C114</f>
        <v>48828961</v>
      </c>
      <c r="E122" s="163">
        <f t="shared" si="12"/>
        <v>0</v>
      </c>
      <c r="F122" s="218">
        <f>IB_1.1.sz.mell.!D121</f>
        <v>19408061</v>
      </c>
      <c r="G122" s="217">
        <f>IB_5.1.sz.mell!D114</f>
        <v>19408061</v>
      </c>
      <c r="H122" s="163">
        <f t="shared" si="13"/>
        <v>0</v>
      </c>
      <c r="I122" s="217">
        <f>IB_1.1.sz.mell.!E121</f>
        <v>0</v>
      </c>
      <c r="J122" s="217">
        <f>IB_5.1.sz.mell!E114</f>
        <v>0</v>
      </c>
      <c r="K122" s="163">
        <f t="shared" si="14"/>
        <v>0</v>
      </c>
    </row>
    <row r="123" spans="1:11" ht="12" customHeight="1" thickBot="1" x14ac:dyDescent="0.3">
      <c r="A123" s="361" t="str">
        <f>IB_1.1.sz.mell.!A122</f>
        <v>22</v>
      </c>
      <c r="B123" s="157" t="str">
        <f>IB_1.1.sz.mell.!B122</f>
        <v xml:space="preserve">   Felhalmozási költségvetés kiadásai (23+25+27)</v>
      </c>
      <c r="C123" s="170">
        <f>C124+C126+C128</f>
        <v>654023880</v>
      </c>
      <c r="D123" s="115" t="e">
        <f>D124+D126+D128</f>
        <v>#REF!</v>
      </c>
      <c r="E123" s="164" t="e">
        <f t="shared" si="12"/>
        <v>#REF!</v>
      </c>
      <c r="F123" s="170">
        <f>F124+F126+F128</f>
        <v>659448734</v>
      </c>
      <c r="G123" s="115" t="e">
        <f>G124+G126+G128</f>
        <v>#REF!</v>
      </c>
      <c r="H123" s="164" t="e">
        <f t="shared" si="13"/>
        <v>#REF!</v>
      </c>
      <c r="I123" s="358">
        <f>I124+I126+I128</f>
        <v>22728853</v>
      </c>
      <c r="J123" s="115" t="e">
        <f>J124+J126+J128</f>
        <v>#REF!</v>
      </c>
      <c r="K123" s="164" t="e">
        <f t="shared" si="14"/>
        <v>#REF!</v>
      </c>
    </row>
    <row r="124" spans="1:11" ht="12" customHeight="1" x14ac:dyDescent="0.25">
      <c r="A124" s="134">
        <f>IB_1.1.sz.mell.!A123</f>
        <v>23</v>
      </c>
      <c r="B124" s="6" t="str">
        <f>IB_1.1.sz.mell.!B123</f>
        <v>Beruházások</v>
      </c>
      <c r="C124" s="209">
        <f>IB_1.1.sz.mell.!C123</f>
        <v>613357880</v>
      </c>
      <c r="D124" s="300" t="e">
        <f>IB_5.1.sz.mell!C116+IB_5.2.sz.mell!C51+IB_5.3.sz.mell!C51+#REF!+#REF!+#REF!+#REF!+#REF!+#REF!+#REF!+#REF!+#REF!</f>
        <v>#REF!</v>
      </c>
      <c r="E124" s="68" t="e">
        <f t="shared" si="12"/>
        <v>#REF!</v>
      </c>
      <c r="F124" s="209">
        <f>IB_1.1.sz.mell.!D123</f>
        <v>616333101</v>
      </c>
      <c r="G124" s="300" t="e">
        <f>IB_5.1.sz.mell!D116+IB_5.2.sz.mell!D51+IB_5.3.sz.mell!D51+#REF!+#REF!+#REF!+#REF!+#REF!+#REF!+#REF!+#REF!+#REF!</f>
        <v>#REF!</v>
      </c>
      <c r="H124" s="68" t="e">
        <f t="shared" si="13"/>
        <v>#REF!</v>
      </c>
      <c r="I124" s="209">
        <f>IB_1.1.sz.mell.!E123</f>
        <v>21773853</v>
      </c>
      <c r="J124" s="300" t="e">
        <f>IB_5.1.sz.mell!E116+IB_5.2.sz.mell!E51+IB_5.3.sz.mell!E51+#REF!+#REF!+#REF!+#REF!+#REF!+#REF!+#REF!+#REF!+#REF!</f>
        <v>#REF!</v>
      </c>
      <c r="K124" s="68" t="e">
        <f t="shared" si="14"/>
        <v>#REF!</v>
      </c>
    </row>
    <row r="125" spans="1:11" ht="12" customHeight="1" x14ac:dyDescent="0.25">
      <c r="A125" s="134" t="str">
        <f>IB_1.1.sz.mell.!A124</f>
        <v>24</v>
      </c>
      <c r="B125" s="10" t="str">
        <f>IB_1.1.sz.mell.!B124</f>
        <v>23-ból EU-s forrásból megvalósuló beruházás</v>
      </c>
      <c r="C125" s="209">
        <f>IB_1.1.sz.mell.!C124</f>
        <v>571000000</v>
      </c>
      <c r="D125" s="300">
        <f>IB_5.1.sz.mell!C117</f>
        <v>571000000</v>
      </c>
      <c r="E125" s="68">
        <f t="shared" si="12"/>
        <v>0</v>
      </c>
      <c r="F125" s="209">
        <f>IB_1.1.sz.mell.!D124</f>
        <v>571000000</v>
      </c>
      <c r="G125" s="300">
        <f>IB_5.1.sz.mell!D117</f>
        <v>571000000</v>
      </c>
      <c r="H125" s="68">
        <f t="shared" si="13"/>
        <v>0</v>
      </c>
      <c r="I125" s="209">
        <f>IB_1.1.sz.mell.!E124</f>
        <v>0</v>
      </c>
      <c r="J125" s="300">
        <f>IB_5.1.sz.mell!E117</f>
        <v>0</v>
      </c>
      <c r="K125" s="68">
        <f t="shared" si="14"/>
        <v>0</v>
      </c>
    </row>
    <row r="126" spans="1:11" ht="12" customHeight="1" x14ac:dyDescent="0.25">
      <c r="A126" s="134" t="str">
        <f>IB_1.1.sz.mell.!A125</f>
        <v>25</v>
      </c>
      <c r="B126" s="10" t="str">
        <f>IB_1.1.sz.mell.!B125</f>
        <v>Felújítások</v>
      </c>
      <c r="C126" s="215">
        <f>IB_1.1.sz.mell.!C125</f>
        <v>37616000</v>
      </c>
      <c r="D126" s="301" t="e">
        <f>IB_5.1.sz.mell!C118+IB_5.2.sz.mell!C52+IB_5.3.sz.mell!C52+#REF!+#REF!+#REF!+#REF!+#REF!+#REF!+#REF!+#REF!+#REF!</f>
        <v>#REF!</v>
      </c>
      <c r="E126" s="67" t="e">
        <f t="shared" si="12"/>
        <v>#REF!</v>
      </c>
      <c r="F126" s="215">
        <f>IB_1.1.sz.mell.!D125</f>
        <v>40065633</v>
      </c>
      <c r="G126" s="301" t="e">
        <f>IB_5.1.sz.mell!D118+IB_5.2.sz.mell!D52+IB_5.3.sz.mell!D52+#REF!+#REF!+#REF!+#REF!+#REF!+#REF!+#REF!+#REF!+#REF!</f>
        <v>#REF!</v>
      </c>
      <c r="H126" s="67" t="e">
        <f t="shared" si="13"/>
        <v>#REF!</v>
      </c>
      <c r="I126" s="215">
        <f>IB_1.1.sz.mell.!E125</f>
        <v>955000</v>
      </c>
      <c r="J126" s="301" t="e">
        <f>IB_5.1.sz.mell!E118+IB_5.2.sz.mell!E52+IB_5.3.sz.mell!E52+#REF!+#REF!+#REF!+#REF!+#REF!+#REF!+#REF!+#REF!+#REF!</f>
        <v>#REF!</v>
      </c>
      <c r="K126" s="67" t="e">
        <f t="shared" si="14"/>
        <v>#REF!</v>
      </c>
    </row>
    <row r="127" spans="1:11" ht="12" customHeight="1" x14ac:dyDescent="0.25">
      <c r="A127" s="134" t="str">
        <f>IB_1.1.sz.mell.!A126</f>
        <v>26</v>
      </c>
      <c r="B127" s="10" t="str">
        <f>IB_1.1.sz.mell.!B126</f>
        <v>25-ből EU-s forrásból megvalósuló felújítás</v>
      </c>
      <c r="C127" s="215">
        <f>IB_1.1.sz.mell.!C126</f>
        <v>0</v>
      </c>
      <c r="D127" s="301">
        <f>IB_5.1.sz.mell!C119</f>
        <v>0</v>
      </c>
      <c r="E127" s="67">
        <f t="shared" si="12"/>
        <v>0</v>
      </c>
      <c r="F127" s="215">
        <f>IB_1.1.sz.mell.!D126</f>
        <v>0</v>
      </c>
      <c r="G127" s="301">
        <f>IB_5.1.sz.mell!D119</f>
        <v>0</v>
      </c>
      <c r="H127" s="67">
        <f t="shared" si="13"/>
        <v>0</v>
      </c>
      <c r="I127" s="215">
        <f>IB_1.1.sz.mell.!E126</f>
        <v>0</v>
      </c>
      <c r="J127" s="301">
        <f>IB_5.1.sz.mell!E119</f>
        <v>0</v>
      </c>
      <c r="K127" s="67">
        <f t="shared" si="14"/>
        <v>0</v>
      </c>
    </row>
    <row r="128" spans="1:11" ht="12" customHeight="1" x14ac:dyDescent="0.25">
      <c r="A128" s="134" t="str">
        <f>IB_1.1.sz.mell.!A127</f>
        <v>27</v>
      </c>
      <c r="B128" s="75" t="str">
        <f>IB_1.1.sz.mell.!B127</f>
        <v>Egyéb felhalmozási célú kiadások</v>
      </c>
      <c r="C128" s="215">
        <f>IB_1.1.sz.mell.!C127</f>
        <v>3050000</v>
      </c>
      <c r="D128" s="300" t="e">
        <f>IB_5.1.sz.mell!C120+IB_5.2.sz.mell!C53+IB_5.3.sz.mell!C53+#REF!+#REF!+#REF!+#REF!+#REF!+#REF!+#REF!+#REF!+#REF!</f>
        <v>#REF!</v>
      </c>
      <c r="E128" s="67" t="e">
        <f t="shared" si="12"/>
        <v>#REF!</v>
      </c>
      <c r="F128" s="215">
        <f>IB_1.1.sz.mell.!D127</f>
        <v>3050000</v>
      </c>
      <c r="G128" s="300" t="e">
        <f>IB_5.1.sz.mell!D120+IB_5.2.sz.mell!D53+IB_5.3.sz.mell!D53+#REF!+#REF!+#REF!+#REF!+#REF!+#REF!+#REF!+#REF!+#REF!</f>
        <v>#REF!</v>
      </c>
      <c r="H128" s="67" t="e">
        <f t="shared" si="13"/>
        <v>#REF!</v>
      </c>
      <c r="I128" s="215">
        <f>IB_1.1.sz.mell.!E127</f>
        <v>0</v>
      </c>
      <c r="J128" s="300" t="e">
        <f>IB_5.1.sz.mell!E120+IB_5.2.sz.mell!E53+IB_5.3.sz.mell!E53+#REF!+#REF!+#REF!+#REF!+#REF!+#REF!+#REF!+#REF!+#REF!</f>
        <v>#REF!</v>
      </c>
      <c r="K128" s="67" t="e">
        <f t="shared" si="14"/>
        <v>#REF!</v>
      </c>
    </row>
    <row r="129" spans="1:11" ht="12" customHeight="1" x14ac:dyDescent="0.25">
      <c r="A129" s="134" t="str">
        <f>IB_1.1.sz.mell.!A128</f>
        <v>28</v>
      </c>
      <c r="B129" s="74" t="str">
        <f>IB_1.1.sz.mell.!B128</f>
        <v>27-ből           - Garancia- és kezességvállalásból kifizetés ÁH-n belülre</v>
      </c>
      <c r="C129" s="215">
        <f>IB_1.1.sz.mell.!C128</f>
        <v>0</v>
      </c>
      <c r="D129" s="301">
        <f>IB_5.1.sz.mell!C121</f>
        <v>0</v>
      </c>
      <c r="E129" s="67">
        <f t="shared" si="12"/>
        <v>0</v>
      </c>
      <c r="F129" s="215">
        <f>IB_1.1.sz.mell.!D128</f>
        <v>0</v>
      </c>
      <c r="G129" s="301">
        <f>IB_5.1.sz.mell!D121</f>
        <v>0</v>
      </c>
      <c r="H129" s="67">
        <f t="shared" si="13"/>
        <v>0</v>
      </c>
      <c r="I129" s="215">
        <f>IB_1.1.sz.mell.!E128</f>
        <v>0</v>
      </c>
      <c r="J129" s="301">
        <f>IB_5.1.sz.mell!E121</f>
        <v>0</v>
      </c>
      <c r="K129" s="67">
        <f t="shared" si="14"/>
        <v>0</v>
      </c>
    </row>
    <row r="130" spans="1:11" ht="12" customHeight="1" x14ac:dyDescent="0.25">
      <c r="A130" s="134" t="str">
        <f>IB_1.1.sz.mell.!A129</f>
        <v>29</v>
      </c>
      <c r="B130" s="124" t="str">
        <f>IB_1.1.sz.mell.!B129</f>
        <v xml:space="preserve">   - Visszatérítendő támogatások, kölcsönök nyújtása ÁH-n belülre</v>
      </c>
      <c r="C130" s="215">
        <f>IB_1.1.sz.mell.!C129</f>
        <v>0</v>
      </c>
      <c r="D130" s="301">
        <f>IB_5.1.sz.mell!C122</f>
        <v>0</v>
      </c>
      <c r="E130" s="67">
        <f t="shared" si="12"/>
        <v>0</v>
      </c>
      <c r="F130" s="215">
        <f>IB_1.1.sz.mell.!D129</f>
        <v>0</v>
      </c>
      <c r="G130" s="301">
        <f>IB_5.1.sz.mell!D122</f>
        <v>0</v>
      </c>
      <c r="H130" s="67">
        <f t="shared" si="13"/>
        <v>0</v>
      </c>
      <c r="I130" s="215">
        <f>IB_1.1.sz.mell.!E129</f>
        <v>0</v>
      </c>
      <c r="J130" s="301">
        <f>IB_5.1.sz.mell!E122</f>
        <v>0</v>
      </c>
      <c r="K130" s="67">
        <f t="shared" si="14"/>
        <v>0</v>
      </c>
    </row>
    <row r="131" spans="1:11" x14ac:dyDescent="0.25">
      <c r="A131" s="134" t="str">
        <f>IB_1.1.sz.mell.!A130</f>
        <v>30</v>
      </c>
      <c r="B131" s="45" t="str">
        <f>IB_1.1.sz.mell.!B130</f>
        <v xml:space="preserve">   - Visszatérítendő támogatások, kölcsönök törlesztése ÁH-n belülre</v>
      </c>
      <c r="C131" s="215">
        <f>IB_1.1.sz.mell.!C130</f>
        <v>0</v>
      </c>
      <c r="D131" s="301">
        <f>IB_5.1.sz.mell!C123</f>
        <v>0</v>
      </c>
      <c r="E131" s="67">
        <f t="shared" si="12"/>
        <v>0</v>
      </c>
      <c r="F131" s="215">
        <f>IB_1.1.sz.mell.!D130</f>
        <v>0</v>
      </c>
      <c r="G131" s="301">
        <f>IB_5.1.sz.mell!D123</f>
        <v>0</v>
      </c>
      <c r="H131" s="67">
        <f t="shared" si="13"/>
        <v>0</v>
      </c>
      <c r="I131" s="215">
        <f>IB_1.1.sz.mell.!E130</f>
        <v>0</v>
      </c>
      <c r="J131" s="301">
        <f>IB_5.1.sz.mell!E123</f>
        <v>0</v>
      </c>
      <c r="K131" s="67">
        <f t="shared" si="14"/>
        <v>0</v>
      </c>
    </row>
    <row r="132" spans="1:11" ht="12" customHeight="1" x14ac:dyDescent="0.25">
      <c r="A132" s="134" t="str">
        <f>IB_1.1.sz.mell.!A131</f>
        <v>31</v>
      </c>
      <c r="B132" s="45" t="str">
        <f>IB_1.1.sz.mell.!B131</f>
        <v xml:space="preserve">   - Egyéb felhalmozási célú támogatások ÁH-n belülre</v>
      </c>
      <c r="C132" s="215">
        <f>IB_1.1.sz.mell.!C131</f>
        <v>0</v>
      </c>
      <c r="D132" s="301">
        <f>IB_5.1.sz.mell!C124</f>
        <v>0</v>
      </c>
      <c r="E132" s="67">
        <f t="shared" si="12"/>
        <v>0</v>
      </c>
      <c r="F132" s="215">
        <f>IB_1.1.sz.mell.!D131</f>
        <v>0</v>
      </c>
      <c r="G132" s="301">
        <f>IB_5.1.sz.mell!D124</f>
        <v>0</v>
      </c>
      <c r="H132" s="67">
        <f t="shared" si="13"/>
        <v>0</v>
      </c>
      <c r="I132" s="215">
        <f>IB_1.1.sz.mell.!E131</f>
        <v>0</v>
      </c>
      <c r="J132" s="301">
        <f>IB_5.1.sz.mell!E124</f>
        <v>0</v>
      </c>
      <c r="K132" s="67">
        <f t="shared" si="14"/>
        <v>0</v>
      </c>
    </row>
    <row r="133" spans="1:11" ht="12" customHeight="1" x14ac:dyDescent="0.25">
      <c r="A133" s="134" t="str">
        <f>IB_1.1.sz.mell.!A132</f>
        <v>32</v>
      </c>
      <c r="B133" s="45" t="str">
        <f>IB_1.1.sz.mell.!B132</f>
        <v xml:space="preserve">   - Garancia- és kezességvállalásból kifizetés ÁH-n kívülre</v>
      </c>
      <c r="C133" s="215">
        <f>IB_1.1.sz.mell.!C132</f>
        <v>0</v>
      </c>
      <c r="D133" s="301">
        <f>IB_5.1.sz.mell!C125</f>
        <v>0</v>
      </c>
      <c r="E133" s="67">
        <f t="shared" si="12"/>
        <v>0</v>
      </c>
      <c r="F133" s="215">
        <f>IB_1.1.sz.mell.!D132</f>
        <v>0</v>
      </c>
      <c r="G133" s="301">
        <f>IB_5.1.sz.mell!D125</f>
        <v>0</v>
      </c>
      <c r="H133" s="67">
        <f t="shared" si="13"/>
        <v>0</v>
      </c>
      <c r="I133" s="215">
        <f>IB_1.1.sz.mell.!E132</f>
        <v>0</v>
      </c>
      <c r="J133" s="301">
        <f>IB_5.1.sz.mell!E125</f>
        <v>0</v>
      </c>
      <c r="K133" s="67">
        <f t="shared" si="14"/>
        <v>0</v>
      </c>
    </row>
    <row r="134" spans="1:11" ht="12" customHeight="1" x14ac:dyDescent="0.25">
      <c r="A134" s="134" t="str">
        <f>IB_1.1.sz.mell.!A133</f>
        <v>33</v>
      </c>
      <c r="B134" s="45" t="str">
        <f>IB_1.1.sz.mell.!B133</f>
        <v xml:space="preserve">   - Visszatérítendő támogatások, kölcsönök nyújtása ÁH-n kívülre</v>
      </c>
      <c r="C134" s="215">
        <f>IB_1.1.sz.mell.!C133</f>
        <v>0</v>
      </c>
      <c r="D134" s="301">
        <f>IB_5.1.sz.mell!C126</f>
        <v>0</v>
      </c>
      <c r="E134" s="67">
        <f t="shared" si="12"/>
        <v>0</v>
      </c>
      <c r="F134" s="215">
        <f>IB_1.1.sz.mell.!D133</f>
        <v>0</v>
      </c>
      <c r="G134" s="301">
        <f>IB_5.1.sz.mell!D126</f>
        <v>0</v>
      </c>
      <c r="H134" s="67">
        <f t="shared" si="13"/>
        <v>0</v>
      </c>
      <c r="I134" s="215">
        <f>IB_1.1.sz.mell.!E133</f>
        <v>0</v>
      </c>
      <c r="J134" s="301">
        <f>IB_5.1.sz.mell!E126</f>
        <v>0</v>
      </c>
      <c r="K134" s="67">
        <f t="shared" si="14"/>
        <v>0</v>
      </c>
    </row>
    <row r="135" spans="1:11" ht="12" customHeight="1" x14ac:dyDescent="0.25">
      <c r="A135" s="134" t="str">
        <f>IB_1.1.sz.mell.!A134</f>
        <v>34</v>
      </c>
      <c r="B135" s="45" t="str">
        <f>IB_1.1.sz.mell.!B134</f>
        <v xml:space="preserve">   - Lakástámogatás</v>
      </c>
      <c r="C135" s="215">
        <f>IB_1.1.sz.mell.!C134</f>
        <v>0</v>
      </c>
      <c r="D135" s="301">
        <f>IB_5.1.sz.mell!C127</f>
        <v>0</v>
      </c>
      <c r="E135" s="67">
        <f t="shared" si="12"/>
        <v>0</v>
      </c>
      <c r="F135" s="215">
        <f>IB_1.1.sz.mell.!D134</f>
        <v>0</v>
      </c>
      <c r="G135" s="301">
        <f>IB_5.1.sz.mell!D127</f>
        <v>0</v>
      </c>
      <c r="H135" s="67">
        <f t="shared" si="13"/>
        <v>0</v>
      </c>
      <c r="I135" s="215">
        <f>IB_1.1.sz.mell.!E134</f>
        <v>0</v>
      </c>
      <c r="J135" s="301">
        <f>IB_5.1.sz.mell!E127</f>
        <v>0</v>
      </c>
      <c r="K135" s="67">
        <f t="shared" si="14"/>
        <v>0</v>
      </c>
    </row>
    <row r="136" spans="1:11" ht="16.5" thickBot="1" x14ac:dyDescent="0.3">
      <c r="A136" s="143">
        <f>IB_1.1.sz.mell.!A135</f>
        <v>35</v>
      </c>
      <c r="B136" s="45" t="str">
        <f>IB_1.1.sz.mell.!B135</f>
        <v xml:space="preserve">   - Egyéb felhalmozási célú támogatások államháztartáson kívülre</v>
      </c>
      <c r="C136" s="217">
        <f>IB_1.1.sz.mell.!C135</f>
        <v>3050000</v>
      </c>
      <c r="D136" s="302">
        <f>IB_5.1.sz.mell!C128</f>
        <v>3050000</v>
      </c>
      <c r="E136" s="69">
        <f t="shared" si="12"/>
        <v>0</v>
      </c>
      <c r="F136" s="217">
        <f>IB_1.1.sz.mell.!D135</f>
        <v>3050000</v>
      </c>
      <c r="G136" s="301">
        <f>IB_5.1.sz.mell!D128</f>
        <v>3050000</v>
      </c>
      <c r="H136" s="69">
        <f t="shared" si="13"/>
        <v>0</v>
      </c>
      <c r="I136" s="215">
        <f>IB_1.1.sz.mell.!E135</f>
        <v>0</v>
      </c>
      <c r="J136" s="301">
        <f>IB_5.1.sz.mell!E128</f>
        <v>0</v>
      </c>
      <c r="K136" s="69">
        <f t="shared" si="14"/>
        <v>0</v>
      </c>
    </row>
    <row r="137" spans="1:11" ht="12" customHeight="1" thickBot="1" x14ac:dyDescent="0.3">
      <c r="A137" s="18">
        <f>IB_1.1.sz.mell.!A136</f>
        <v>36</v>
      </c>
      <c r="B137" s="39" t="str">
        <f>IB_1.1.sz.mell.!B136</f>
        <v>KÖLTSÉGVETÉSI KIADÁSOK ÖSSZESEN (1+22)</v>
      </c>
      <c r="C137" s="115">
        <f>C102+C123</f>
        <v>2241599119</v>
      </c>
      <c r="D137" s="115" t="e">
        <f>D102+D123</f>
        <v>#REF!</v>
      </c>
      <c r="E137" s="66" t="e">
        <f t="shared" si="12"/>
        <v>#REF!</v>
      </c>
      <c r="F137" s="115">
        <f>F102+F123</f>
        <v>2269251466</v>
      </c>
      <c r="G137" s="115" t="e">
        <f>G102+G123</f>
        <v>#REF!</v>
      </c>
      <c r="H137" s="66" t="e">
        <f t="shared" si="13"/>
        <v>#REF!</v>
      </c>
      <c r="I137" s="115">
        <f>I102+I123</f>
        <v>795331429</v>
      </c>
      <c r="J137" s="115" t="e">
        <f>J102+J123</f>
        <v>#REF!</v>
      </c>
      <c r="K137" s="66" t="e">
        <f t="shared" si="14"/>
        <v>#REF!</v>
      </c>
    </row>
    <row r="138" spans="1:11" ht="12" customHeight="1" thickBot="1" x14ac:dyDescent="0.3">
      <c r="A138" s="18">
        <f>IB_1.1.sz.mell.!A137</f>
        <v>37</v>
      </c>
      <c r="B138" s="39" t="str">
        <f>IB_1.1.sz.mell.!B137</f>
        <v>Hitel-, kölcsöntörlesztés államháztartáson kívülre (38+ … + 40)</v>
      </c>
      <c r="C138" s="115">
        <f>SUM(C139:C141)</f>
        <v>0</v>
      </c>
      <c r="D138" s="115">
        <f>SUM(D139:D141)</f>
        <v>0</v>
      </c>
      <c r="E138" s="66">
        <f t="shared" si="12"/>
        <v>0</v>
      </c>
      <c r="F138" s="115">
        <f>SUM(F139:F141)</f>
        <v>0</v>
      </c>
      <c r="G138" s="115">
        <f>SUM(G139:G141)</f>
        <v>0</v>
      </c>
      <c r="H138" s="66">
        <f t="shared" si="13"/>
        <v>0</v>
      </c>
      <c r="I138" s="115">
        <f>SUM(I139:I141)</f>
        <v>0</v>
      </c>
      <c r="J138" s="115">
        <f>SUM(J139:J141)</f>
        <v>0</v>
      </c>
      <c r="K138" s="66">
        <f t="shared" si="14"/>
        <v>0</v>
      </c>
    </row>
    <row r="139" spans="1:11" ht="12" customHeight="1" x14ac:dyDescent="0.25">
      <c r="A139" s="134">
        <f>IB_1.1.sz.mell.!A138</f>
        <v>38</v>
      </c>
      <c r="B139" s="10" t="str">
        <f>IB_1.1.sz.mell.!B138</f>
        <v>Hosszú lejáratú hitelek, kölcsönök törlesztése pénzügyi vállalkozásnak</v>
      </c>
      <c r="C139" s="215">
        <f>IB_1.1.sz.mell.!C138</f>
        <v>0</v>
      </c>
      <c r="D139" s="301">
        <f>IB_5.1.sz.mell!C131</f>
        <v>0</v>
      </c>
      <c r="E139" s="67">
        <f t="shared" si="12"/>
        <v>0</v>
      </c>
      <c r="F139" s="215">
        <f>IB_1.1.sz.mell.!D138</f>
        <v>0</v>
      </c>
      <c r="G139" s="301">
        <f>IB_5.1.sz.mell!D131</f>
        <v>0</v>
      </c>
      <c r="H139" s="67">
        <f t="shared" si="13"/>
        <v>0</v>
      </c>
      <c r="I139" s="215">
        <f>IB_1.1.sz.mell.!E138</f>
        <v>0</v>
      </c>
      <c r="J139" s="301">
        <f>IB_5.1.sz.mell!E131</f>
        <v>0</v>
      </c>
      <c r="K139" s="67">
        <f t="shared" si="14"/>
        <v>0</v>
      </c>
    </row>
    <row r="140" spans="1:11" ht="12" customHeight="1" x14ac:dyDescent="0.25">
      <c r="A140" s="134" t="str">
        <f>IB_1.1.sz.mell.!A139</f>
        <v>39</v>
      </c>
      <c r="B140" s="10" t="str">
        <f>IB_1.1.sz.mell.!B139</f>
        <v>Likviditási célú hitelek, kölcsönök törlesztése pénzügyi vállalkozásnak</v>
      </c>
      <c r="C140" s="215">
        <f>IB_1.1.sz.mell.!C139</f>
        <v>0</v>
      </c>
      <c r="D140" s="301">
        <f>IB_5.1.sz.mell!C132</f>
        <v>0</v>
      </c>
      <c r="E140" s="67">
        <f t="shared" si="12"/>
        <v>0</v>
      </c>
      <c r="F140" s="215">
        <f>IB_1.1.sz.mell.!D139</f>
        <v>0</v>
      </c>
      <c r="G140" s="301">
        <f>IB_5.1.sz.mell!D132</f>
        <v>0</v>
      </c>
      <c r="H140" s="67">
        <f t="shared" si="13"/>
        <v>0</v>
      </c>
      <c r="I140" s="215">
        <f>IB_1.1.sz.mell.!E139</f>
        <v>0</v>
      </c>
      <c r="J140" s="301">
        <f>IB_5.1.sz.mell!E132</f>
        <v>0</v>
      </c>
      <c r="K140" s="67">
        <f t="shared" si="14"/>
        <v>0</v>
      </c>
    </row>
    <row r="141" spans="1:11" ht="12" customHeight="1" thickBot="1" x14ac:dyDescent="0.3">
      <c r="A141" s="143" t="str">
        <f>IB_1.1.sz.mell.!A140</f>
        <v>40</v>
      </c>
      <c r="B141" s="10" t="str">
        <f>IB_1.1.sz.mell.!B140</f>
        <v>Rövid lejáratú hitelek, kölcsönök törlesztése pénzügyi vállalkozásnak</v>
      </c>
      <c r="C141" s="215">
        <f>IB_1.1.sz.mell.!C140</f>
        <v>0</v>
      </c>
      <c r="D141" s="301">
        <f>IB_5.1.sz.mell!C133</f>
        <v>0</v>
      </c>
      <c r="E141" s="67">
        <f t="shared" si="12"/>
        <v>0</v>
      </c>
      <c r="F141" s="215">
        <f>IB_1.1.sz.mell.!D140</f>
        <v>0</v>
      </c>
      <c r="G141" s="301">
        <f>IB_5.1.sz.mell!D133</f>
        <v>0</v>
      </c>
      <c r="H141" s="67">
        <f t="shared" si="13"/>
        <v>0</v>
      </c>
      <c r="I141" s="215">
        <f>IB_1.1.sz.mell.!E140</f>
        <v>0</v>
      </c>
      <c r="J141" s="301">
        <f>IB_5.1.sz.mell!E133</f>
        <v>0</v>
      </c>
      <c r="K141" s="67">
        <f t="shared" si="14"/>
        <v>0</v>
      </c>
    </row>
    <row r="142" spans="1:11" ht="12" customHeight="1" thickBot="1" x14ac:dyDescent="0.3">
      <c r="A142" s="18">
        <f>IB_1.1.sz.mell.!A141</f>
        <v>41</v>
      </c>
      <c r="B142" s="39" t="str">
        <f>IB_1.1.sz.mell.!B141</f>
        <v>Belföldi értékpapírok kiadásai (42+ … + 47)</v>
      </c>
      <c r="C142" s="115">
        <f>SUM(C143:C148)</f>
        <v>0</v>
      </c>
      <c r="D142" s="115">
        <f>SUM(D143:D148)</f>
        <v>0</v>
      </c>
      <c r="E142" s="66">
        <f t="shared" si="12"/>
        <v>0</v>
      </c>
      <c r="F142" s="115">
        <f>SUM(F143:F148)</f>
        <v>0</v>
      </c>
      <c r="G142" s="115">
        <f>SUM(G143:G148)</f>
        <v>0</v>
      </c>
      <c r="H142" s="66">
        <f t="shared" si="13"/>
        <v>0</v>
      </c>
      <c r="I142" s="115">
        <f>SUM(I143:I148)</f>
        <v>0</v>
      </c>
      <c r="J142" s="115">
        <f>SUM(J143:J148)</f>
        <v>0</v>
      </c>
      <c r="K142" s="66">
        <f t="shared" si="14"/>
        <v>0</v>
      </c>
    </row>
    <row r="143" spans="1:11" ht="12" customHeight="1" x14ac:dyDescent="0.25">
      <c r="A143" s="134">
        <f>IB_1.1.sz.mell.!A142</f>
        <v>42</v>
      </c>
      <c r="B143" s="7" t="str">
        <f>IB_1.1.sz.mell.!B142</f>
        <v>Forgatási célú belföldi értékpapírok vásárlása</v>
      </c>
      <c r="C143" s="215">
        <f>IB_1.1.sz.mell.!C142</f>
        <v>0</v>
      </c>
      <c r="D143" s="301">
        <f>IB_5.1.sz.mell!C135</f>
        <v>0</v>
      </c>
      <c r="E143" s="67">
        <f t="shared" si="12"/>
        <v>0</v>
      </c>
      <c r="F143" s="215">
        <f>IB_1.1.sz.mell.!D142</f>
        <v>0</v>
      </c>
      <c r="G143" s="301">
        <f>IB_5.1.sz.mell!D135</f>
        <v>0</v>
      </c>
      <c r="H143" s="67">
        <f t="shared" si="13"/>
        <v>0</v>
      </c>
      <c r="I143" s="215">
        <f>IB_1.1.sz.mell.!E142</f>
        <v>0</v>
      </c>
      <c r="J143" s="301">
        <f>IB_5.1.sz.mell!E135</f>
        <v>0</v>
      </c>
      <c r="K143" s="67">
        <f t="shared" si="14"/>
        <v>0</v>
      </c>
    </row>
    <row r="144" spans="1:11" ht="12" customHeight="1" x14ac:dyDescent="0.25">
      <c r="A144" s="134">
        <f>IB_1.1.sz.mell.!A143</f>
        <v>43</v>
      </c>
      <c r="B144" s="7" t="str">
        <f>IB_1.1.sz.mell.!B143</f>
        <v>Befektetési célú belföldi értékpapírok vásárlása</v>
      </c>
      <c r="C144" s="215">
        <f>IB_1.1.sz.mell.!C143</f>
        <v>0</v>
      </c>
      <c r="D144" s="301">
        <f>IB_5.1.sz.mell!C136</f>
        <v>0</v>
      </c>
      <c r="E144" s="67">
        <f t="shared" si="12"/>
        <v>0</v>
      </c>
      <c r="F144" s="215">
        <f>IB_1.1.sz.mell.!D143</f>
        <v>0</v>
      </c>
      <c r="G144" s="301">
        <f>IB_5.1.sz.mell!D136</f>
        <v>0</v>
      </c>
      <c r="H144" s="67">
        <f t="shared" si="13"/>
        <v>0</v>
      </c>
      <c r="I144" s="215">
        <f>IB_1.1.sz.mell.!E143</f>
        <v>0</v>
      </c>
      <c r="J144" s="301">
        <f>IB_5.1.sz.mell!E136</f>
        <v>0</v>
      </c>
      <c r="K144" s="67">
        <f t="shared" si="14"/>
        <v>0</v>
      </c>
    </row>
    <row r="145" spans="1:11" ht="12" customHeight="1" x14ac:dyDescent="0.25">
      <c r="A145" s="134" t="str">
        <f>IB_1.1.sz.mell.!A144</f>
        <v>44</v>
      </c>
      <c r="B145" s="7" t="str">
        <f>IB_1.1.sz.mell.!B144</f>
        <v>Kincstárjegyek beváltása</v>
      </c>
      <c r="C145" s="215">
        <f>IB_1.1.sz.mell.!C144</f>
        <v>0</v>
      </c>
      <c r="D145" s="301">
        <f>IB_5.1.sz.mell!C137</f>
        <v>0</v>
      </c>
      <c r="E145" s="67">
        <f t="shared" si="12"/>
        <v>0</v>
      </c>
      <c r="F145" s="215">
        <f>IB_1.1.sz.mell.!D144</f>
        <v>0</v>
      </c>
      <c r="G145" s="301">
        <f>IB_5.1.sz.mell!D137</f>
        <v>0</v>
      </c>
      <c r="H145" s="67">
        <f t="shared" si="13"/>
        <v>0</v>
      </c>
      <c r="I145" s="215">
        <f>IB_1.1.sz.mell.!E144</f>
        <v>0</v>
      </c>
      <c r="J145" s="301">
        <f>IB_5.1.sz.mell!E137</f>
        <v>0</v>
      </c>
      <c r="K145" s="67">
        <f t="shared" si="14"/>
        <v>0</v>
      </c>
    </row>
    <row r="146" spans="1:11" ht="12" customHeight="1" x14ac:dyDescent="0.25">
      <c r="A146" s="134" t="str">
        <f>IB_1.1.sz.mell.!A145</f>
        <v>45</v>
      </c>
      <c r="B146" s="7" t="str">
        <f>IB_1.1.sz.mell.!B145</f>
        <v>Éven belüli lejáratú belföldi értékpapírok beváltása</v>
      </c>
      <c r="C146" s="215">
        <f>IB_1.1.sz.mell.!C145</f>
        <v>0</v>
      </c>
      <c r="D146" s="301">
        <f>IB_5.1.sz.mell!C138</f>
        <v>0</v>
      </c>
      <c r="E146" s="67">
        <f t="shared" si="12"/>
        <v>0</v>
      </c>
      <c r="F146" s="215">
        <f>IB_1.1.sz.mell.!D145</f>
        <v>0</v>
      </c>
      <c r="G146" s="301">
        <f>IB_5.1.sz.mell!D138</f>
        <v>0</v>
      </c>
      <c r="H146" s="67">
        <f t="shared" si="13"/>
        <v>0</v>
      </c>
      <c r="I146" s="215">
        <f>IB_1.1.sz.mell.!E145</f>
        <v>0</v>
      </c>
      <c r="J146" s="301">
        <f>IB_5.1.sz.mell!E138</f>
        <v>0</v>
      </c>
      <c r="K146" s="67">
        <f t="shared" si="14"/>
        <v>0</v>
      </c>
    </row>
    <row r="147" spans="1:11" ht="12" customHeight="1" x14ac:dyDescent="0.25">
      <c r="A147" s="134" t="str">
        <f>IB_1.1.sz.mell.!A146</f>
        <v>46</v>
      </c>
      <c r="B147" s="7" t="str">
        <f>IB_1.1.sz.mell.!B146</f>
        <v>Belföldi kötvények beváltása</v>
      </c>
      <c r="C147" s="215">
        <f>IB_1.1.sz.mell.!C146</f>
        <v>0</v>
      </c>
      <c r="D147" s="301">
        <f>IB_5.1.sz.mell!C139</f>
        <v>0</v>
      </c>
      <c r="E147" s="67">
        <f t="shared" si="12"/>
        <v>0</v>
      </c>
      <c r="F147" s="215">
        <f>IB_1.1.sz.mell.!D146</f>
        <v>0</v>
      </c>
      <c r="G147" s="301">
        <f>IB_5.1.sz.mell!D139</f>
        <v>0</v>
      </c>
      <c r="H147" s="67">
        <f t="shared" si="13"/>
        <v>0</v>
      </c>
      <c r="I147" s="215">
        <f>IB_1.1.sz.mell.!E146</f>
        <v>0</v>
      </c>
      <c r="J147" s="301">
        <f>IB_5.1.sz.mell!E139</f>
        <v>0</v>
      </c>
      <c r="K147" s="67">
        <f t="shared" si="14"/>
        <v>0</v>
      </c>
    </row>
    <row r="148" spans="1:11" ht="12" customHeight="1" thickBot="1" x14ac:dyDescent="0.3">
      <c r="A148" s="144">
        <f>IB_1.1.sz.mell.!A147</f>
        <v>47</v>
      </c>
      <c r="B148" s="250" t="str">
        <f>IB_1.1.sz.mell.!B147</f>
        <v>Éven túli lejáratú belföldi értékpapírok beváltása</v>
      </c>
      <c r="C148" s="218">
        <f>IB_1.1.sz.mell.!C147</f>
        <v>0</v>
      </c>
      <c r="D148" s="303">
        <f>IB_5.1.sz.mell!C140</f>
        <v>0</v>
      </c>
      <c r="E148" s="163">
        <f t="shared" si="12"/>
        <v>0</v>
      </c>
      <c r="F148" s="218">
        <f>IB_1.1.sz.mell.!D147</f>
        <v>0</v>
      </c>
      <c r="G148" s="301">
        <f>IB_5.1.sz.mell!D140</f>
        <v>0</v>
      </c>
      <c r="H148" s="163">
        <f t="shared" si="13"/>
        <v>0</v>
      </c>
      <c r="I148" s="215">
        <f>IB_1.1.sz.mell.!E147</f>
        <v>0</v>
      </c>
      <c r="J148" s="301">
        <f>IB_5.1.sz.mell!E140</f>
        <v>0</v>
      </c>
      <c r="K148" s="163">
        <f t="shared" si="14"/>
        <v>0</v>
      </c>
    </row>
    <row r="149" spans="1:11" ht="12" customHeight="1" thickBot="1" x14ac:dyDescent="0.3">
      <c r="A149" s="18">
        <f>IB_1.1.sz.mell.!A148</f>
        <v>48</v>
      </c>
      <c r="B149" s="39" t="str">
        <f>IB_1.1.sz.mell.!B148</f>
        <v>Belföldi finanszírozás kiadásai (49+ … + 52)</v>
      </c>
      <c r="C149" s="121">
        <f>C150+C151+C153+C154</f>
        <v>28820112</v>
      </c>
      <c r="D149" s="350">
        <f>D150+D151+D153+D154</f>
        <v>28820112</v>
      </c>
      <c r="E149" s="146">
        <f t="shared" si="12"/>
        <v>0</v>
      </c>
      <c r="F149" s="121">
        <f>F150+F151+F153+F154</f>
        <v>28820112</v>
      </c>
      <c r="G149" s="350">
        <f>G150+G151+G153+G154</f>
        <v>28820112</v>
      </c>
      <c r="H149" s="146">
        <f t="shared" si="13"/>
        <v>0</v>
      </c>
      <c r="I149" s="121">
        <f>I150+I151+I153+I154</f>
        <v>28820512</v>
      </c>
      <c r="J149" s="350">
        <f>J150+J151+J153+J154</f>
        <v>28820512</v>
      </c>
      <c r="K149" s="146">
        <f t="shared" si="14"/>
        <v>0</v>
      </c>
    </row>
    <row r="150" spans="1:11" ht="12" customHeight="1" x14ac:dyDescent="0.25">
      <c r="A150" s="134">
        <f>IB_1.1.sz.mell.!A149</f>
        <v>49</v>
      </c>
      <c r="B150" s="7" t="str">
        <f>IB_1.1.sz.mell.!B149</f>
        <v>Államháztartáson belüli megelőlegezések folyósítása</v>
      </c>
      <c r="C150" s="215">
        <f>IB_1.1.sz.mell.!C149</f>
        <v>0</v>
      </c>
      <c r="D150" s="301">
        <f>IB_5.1.sz.mell!C142</f>
        <v>0</v>
      </c>
      <c r="E150" s="67">
        <f t="shared" si="12"/>
        <v>0</v>
      </c>
      <c r="F150" s="215">
        <f>IB_1.1.sz.mell.!D149</f>
        <v>0</v>
      </c>
      <c r="G150" s="301">
        <f>IB_5.1.sz.mell!D142</f>
        <v>0</v>
      </c>
      <c r="H150" s="67">
        <f t="shared" si="13"/>
        <v>0</v>
      </c>
      <c r="I150" s="215">
        <f>IB_1.1.sz.mell.!E149</f>
        <v>0</v>
      </c>
      <c r="J150" s="301">
        <f>IB_5.1.sz.mell!E142</f>
        <v>0</v>
      </c>
      <c r="K150" s="67">
        <f t="shared" si="14"/>
        <v>0</v>
      </c>
    </row>
    <row r="151" spans="1:11" ht="12" customHeight="1" x14ac:dyDescent="0.25">
      <c r="A151" s="333" t="str">
        <f>IB_1.1.sz.mell.!A150</f>
        <v>50</v>
      </c>
      <c r="B151" s="7" t="str">
        <f>IB_1.1.sz.mell.!B150</f>
        <v>Államháztartáson belüli megelőlegezések visszafizetése</v>
      </c>
      <c r="C151" s="215">
        <f>IB_1.1.sz.mell.!C150</f>
        <v>28499482</v>
      </c>
      <c r="D151" s="301">
        <f>IB_5.1.sz.mell!C143</f>
        <v>28499482</v>
      </c>
      <c r="E151" s="67">
        <f t="shared" si="12"/>
        <v>0</v>
      </c>
      <c r="F151" s="215">
        <f>IB_1.1.sz.mell.!D150</f>
        <v>28499482</v>
      </c>
      <c r="G151" s="301">
        <f>IB_5.1.sz.mell!D143</f>
        <v>28499482</v>
      </c>
      <c r="H151" s="67">
        <f t="shared" si="13"/>
        <v>0</v>
      </c>
      <c r="I151" s="215">
        <f>IB_1.1.sz.mell.!E150</f>
        <v>28499882</v>
      </c>
      <c r="J151" s="301">
        <f>IB_5.1.sz.mell!E143</f>
        <v>28499882</v>
      </c>
      <c r="K151" s="67">
        <f t="shared" si="14"/>
        <v>0</v>
      </c>
    </row>
    <row r="152" spans="1:11" ht="12" customHeight="1" x14ac:dyDescent="0.25">
      <c r="A152" s="333">
        <f>A151+1</f>
        <v>51</v>
      </c>
      <c r="B152" s="7" t="str">
        <f>IB_5.1.sz.mell!B144</f>
        <v>Központi, irányító szervi támogatás</v>
      </c>
      <c r="C152" s="349"/>
      <c r="D152" s="351">
        <f>IB_5.1.sz.mell!C144</f>
        <v>242498344</v>
      </c>
      <c r="E152" s="352"/>
      <c r="F152" s="349"/>
      <c r="G152" s="351">
        <f>IB_5.1.sz.mell!D144</f>
        <v>242498344</v>
      </c>
      <c r="H152" s="352"/>
      <c r="I152" s="349"/>
      <c r="J152" s="351">
        <f>IB_5.1.sz.mell!I144</f>
        <v>0</v>
      </c>
      <c r="K152" s="352"/>
    </row>
    <row r="153" spans="1:11" ht="12" customHeight="1" x14ac:dyDescent="0.25">
      <c r="A153" s="333">
        <f>A152+1</f>
        <v>52</v>
      </c>
      <c r="B153" s="7" t="str">
        <f>IB_1.1.sz.mell.!B151</f>
        <v>Pénzeszközök lekötött betétként elhelyezése</v>
      </c>
      <c r="C153" s="215">
        <f>IB_1.1.sz.mell.!C151</f>
        <v>0</v>
      </c>
      <c r="D153" s="301">
        <f>IB_5.1.sz.mell!C145</f>
        <v>0</v>
      </c>
      <c r="E153" s="67">
        <f t="shared" si="12"/>
        <v>0</v>
      </c>
      <c r="F153" s="215">
        <f>IB_1.1.sz.mell.!D151</f>
        <v>0</v>
      </c>
      <c r="G153" s="301">
        <f>IB_5.1.sz.mell!D145</f>
        <v>0</v>
      </c>
      <c r="H153" s="67">
        <f t="shared" ref="H153:H164" si="15">G153-F153</f>
        <v>0</v>
      </c>
      <c r="I153" s="215">
        <f>IB_1.1.sz.mell.!E151</f>
        <v>0</v>
      </c>
      <c r="J153" s="301">
        <f>IB_5.1.sz.mell!E145</f>
        <v>0</v>
      </c>
      <c r="K153" s="67">
        <f t="shared" ref="K153:K164" si="16">J153-I153</f>
        <v>0</v>
      </c>
    </row>
    <row r="154" spans="1:11" ht="12" customHeight="1" thickBot="1" x14ac:dyDescent="0.3">
      <c r="A154" s="362">
        <f t="shared" ref="A154:A167" si="17">A153+1</f>
        <v>53</v>
      </c>
      <c r="B154" s="5" t="str">
        <f>IB_1.1.sz.mell.!B152</f>
        <v>Pénzügyi lízing kiadásai</v>
      </c>
      <c r="C154" s="215">
        <f>IB_1.1.sz.mell.!C152</f>
        <v>320630</v>
      </c>
      <c r="D154" s="301">
        <f>IB_5.1.sz.mell!C146</f>
        <v>320630</v>
      </c>
      <c r="E154" s="67">
        <f t="shared" si="12"/>
        <v>0</v>
      </c>
      <c r="F154" s="215">
        <f>IB_1.1.sz.mell.!D152</f>
        <v>320630</v>
      </c>
      <c r="G154" s="301">
        <f>IB_5.1.sz.mell!D146</f>
        <v>320630</v>
      </c>
      <c r="H154" s="67">
        <f t="shared" si="15"/>
        <v>0</v>
      </c>
      <c r="I154" s="215">
        <f>IB_1.1.sz.mell.!E152</f>
        <v>320630</v>
      </c>
      <c r="J154" s="301">
        <f>IB_5.1.sz.mell!E146</f>
        <v>320630</v>
      </c>
      <c r="K154" s="67">
        <f t="shared" si="16"/>
        <v>0</v>
      </c>
    </row>
    <row r="155" spans="1:11" ht="12" customHeight="1" thickBot="1" x14ac:dyDescent="0.3">
      <c r="A155" s="363">
        <f t="shared" si="17"/>
        <v>54</v>
      </c>
      <c r="B155" s="39" t="str">
        <f>IB_1.1.sz.mell.!B153</f>
        <v>Külföldi finanszírozás kiadásai (54+ … + 58)</v>
      </c>
      <c r="C155" s="171">
        <f>SUM(C156:C160)</f>
        <v>0</v>
      </c>
      <c r="D155" s="171">
        <f>SUM(D156:D160)</f>
        <v>0</v>
      </c>
      <c r="E155" s="165">
        <f t="shared" si="12"/>
        <v>0</v>
      </c>
      <c r="F155" s="171">
        <f>SUM(F156:F160)</f>
        <v>0</v>
      </c>
      <c r="G155" s="171">
        <f>SUM(G156:G160)</f>
        <v>0</v>
      </c>
      <c r="H155" s="165">
        <f t="shared" si="15"/>
        <v>0</v>
      </c>
      <c r="I155" s="171">
        <f>SUM(I156:I160)</f>
        <v>0</v>
      </c>
      <c r="J155" s="171">
        <f>SUM(J156:J160)</f>
        <v>0</v>
      </c>
      <c r="K155" s="165">
        <f t="shared" si="16"/>
        <v>0</v>
      </c>
    </row>
    <row r="156" spans="1:11" ht="12" customHeight="1" x14ac:dyDescent="0.25">
      <c r="A156" s="333">
        <f t="shared" si="17"/>
        <v>55</v>
      </c>
      <c r="B156" s="7" t="str">
        <f>IB_1.1.sz.mell.!B154</f>
        <v>Forgatási célú külföldi értékpapírok vásárlása</v>
      </c>
      <c r="C156" s="215">
        <f>IB_1.1.sz.mell.!C154</f>
        <v>0</v>
      </c>
      <c r="D156" s="301">
        <f>IB_5.1.sz.mell!C148</f>
        <v>0</v>
      </c>
      <c r="E156" s="67">
        <f t="shared" si="12"/>
        <v>0</v>
      </c>
      <c r="F156" s="215">
        <f>IB_1.1.sz.mell.!D154</f>
        <v>0</v>
      </c>
      <c r="G156" s="301">
        <f>IB_5.1.sz.mell!D148</f>
        <v>0</v>
      </c>
      <c r="H156" s="67">
        <f t="shared" si="15"/>
        <v>0</v>
      </c>
      <c r="I156" s="215">
        <f>IB_1.1.sz.mell.!E154</f>
        <v>0</v>
      </c>
      <c r="J156" s="301">
        <f>IB_5.1.sz.mell!E148</f>
        <v>0</v>
      </c>
      <c r="K156" s="67">
        <f t="shared" si="16"/>
        <v>0</v>
      </c>
    </row>
    <row r="157" spans="1:11" ht="12" customHeight="1" x14ac:dyDescent="0.25">
      <c r="A157" s="333">
        <f t="shared" si="17"/>
        <v>56</v>
      </c>
      <c r="B157" s="7" t="str">
        <f>IB_1.1.sz.mell.!B155</f>
        <v>Befektetési célú külföldi értékpapírok vásárlása</v>
      </c>
      <c r="C157" s="215">
        <f>IB_1.1.sz.mell.!C155</f>
        <v>0</v>
      </c>
      <c r="D157" s="301">
        <f>IB_5.1.sz.mell!C149</f>
        <v>0</v>
      </c>
      <c r="E157" s="67">
        <f t="shared" si="12"/>
        <v>0</v>
      </c>
      <c r="F157" s="215">
        <f>IB_1.1.sz.mell.!D155</f>
        <v>0</v>
      </c>
      <c r="G157" s="301">
        <f>IB_5.1.sz.mell!D149</f>
        <v>0</v>
      </c>
      <c r="H157" s="67">
        <f t="shared" si="15"/>
        <v>0</v>
      </c>
      <c r="I157" s="215">
        <f>IB_1.1.sz.mell.!E155</f>
        <v>0</v>
      </c>
      <c r="J157" s="301">
        <f>IB_5.1.sz.mell!E149</f>
        <v>0</v>
      </c>
      <c r="K157" s="67">
        <f t="shared" si="16"/>
        <v>0</v>
      </c>
    </row>
    <row r="158" spans="1:11" ht="12" customHeight="1" x14ac:dyDescent="0.25">
      <c r="A158" s="333">
        <f t="shared" si="17"/>
        <v>57</v>
      </c>
      <c r="B158" s="7" t="str">
        <f>IB_1.1.sz.mell.!B156</f>
        <v>Külföldi értékpapírok beváltása</v>
      </c>
      <c r="C158" s="215">
        <f>IB_1.1.sz.mell.!C156</f>
        <v>0</v>
      </c>
      <c r="D158" s="301">
        <f>IB_5.1.sz.mell!C150</f>
        <v>0</v>
      </c>
      <c r="E158" s="67">
        <f t="shared" si="12"/>
        <v>0</v>
      </c>
      <c r="F158" s="215">
        <f>IB_1.1.sz.mell.!D156</f>
        <v>0</v>
      </c>
      <c r="G158" s="301">
        <f>IB_5.1.sz.mell!D150</f>
        <v>0</v>
      </c>
      <c r="H158" s="67">
        <f t="shared" si="15"/>
        <v>0</v>
      </c>
      <c r="I158" s="215">
        <f>IB_1.1.sz.mell.!E156</f>
        <v>0</v>
      </c>
      <c r="J158" s="301">
        <f>IB_5.1.sz.mell!E150</f>
        <v>0</v>
      </c>
      <c r="K158" s="67">
        <f t="shared" si="16"/>
        <v>0</v>
      </c>
    </row>
    <row r="159" spans="1:11" ht="12" customHeight="1" x14ac:dyDescent="0.25">
      <c r="A159" s="333">
        <f t="shared" si="17"/>
        <v>58</v>
      </c>
      <c r="B159" s="7" t="str">
        <f>IB_1.1.sz.mell.!B157</f>
        <v>Hitelek, kölcsönök törlesztése külföldi kormányoknak nemz. szervezeteknek</v>
      </c>
      <c r="C159" s="215">
        <f>IB_1.1.sz.mell.!C157</f>
        <v>0</v>
      </c>
      <c r="D159" s="301">
        <f>IB_5.1.sz.mell!C151</f>
        <v>0</v>
      </c>
      <c r="E159" s="67">
        <f t="shared" si="12"/>
        <v>0</v>
      </c>
      <c r="F159" s="215">
        <f>IB_1.1.sz.mell.!D157</f>
        <v>0</v>
      </c>
      <c r="G159" s="301">
        <f>IB_5.1.sz.mell!D151</f>
        <v>0</v>
      </c>
      <c r="H159" s="67">
        <f t="shared" si="15"/>
        <v>0</v>
      </c>
      <c r="I159" s="215">
        <f>IB_1.1.sz.mell.!E157</f>
        <v>0</v>
      </c>
      <c r="J159" s="301">
        <f>IB_5.1.sz.mell!E151</f>
        <v>0</v>
      </c>
      <c r="K159" s="67">
        <f t="shared" si="16"/>
        <v>0</v>
      </c>
    </row>
    <row r="160" spans="1:11" ht="12" customHeight="1" thickBot="1" x14ac:dyDescent="0.3">
      <c r="A160" s="333">
        <f t="shared" si="17"/>
        <v>59</v>
      </c>
      <c r="B160" s="7" t="str">
        <f>IB_1.1.sz.mell.!B158</f>
        <v>Hitelek, kölcsönök törlesztése külföldi pénzintézeteknek</v>
      </c>
      <c r="C160" s="215">
        <f>IB_1.1.sz.mell.!C158</f>
        <v>0</v>
      </c>
      <c r="D160" s="301">
        <f>IB_5.1.sz.mell!C152</f>
        <v>0</v>
      </c>
      <c r="E160" s="67">
        <f t="shared" si="12"/>
        <v>0</v>
      </c>
      <c r="F160" s="215">
        <f>IB_1.1.sz.mell.!D158</f>
        <v>0</v>
      </c>
      <c r="G160" s="301">
        <f>IB_5.1.sz.mell!D152</f>
        <v>0</v>
      </c>
      <c r="H160" s="67">
        <f t="shared" si="15"/>
        <v>0</v>
      </c>
      <c r="I160" s="215">
        <f>IB_1.1.sz.mell.!E158</f>
        <v>0</v>
      </c>
      <c r="J160" s="301">
        <f>IB_5.1.sz.mell!E152</f>
        <v>0</v>
      </c>
      <c r="K160" s="67">
        <f t="shared" si="16"/>
        <v>0</v>
      </c>
    </row>
    <row r="161" spans="1:11" ht="12" customHeight="1" thickBot="1" x14ac:dyDescent="0.3">
      <c r="A161" s="363">
        <f t="shared" si="17"/>
        <v>60</v>
      </c>
      <c r="B161" s="39" t="str">
        <f>IB_1.1.sz.mell.!B159</f>
        <v>Adóssághoz nem kapcsolódó származékos ügyletek</v>
      </c>
      <c r="C161" s="171">
        <f>IB_1.1.sz.mell.!C159</f>
        <v>0</v>
      </c>
      <c r="D161" s="224">
        <f>IB_5.1.sz.mell!C153</f>
        <v>0</v>
      </c>
      <c r="E161" s="166">
        <f t="shared" si="12"/>
        <v>0</v>
      </c>
      <c r="F161" s="171">
        <f>IB_1.1.sz.mell.!D159</f>
        <v>0</v>
      </c>
      <c r="G161" s="224">
        <f>IB_5.1.sz.mell!D153</f>
        <v>0</v>
      </c>
      <c r="H161" s="166">
        <f t="shared" si="15"/>
        <v>0</v>
      </c>
      <c r="I161" s="171">
        <f>IB_1.1.sz.mell.!E159</f>
        <v>0</v>
      </c>
      <c r="J161" s="224">
        <f>IB_5.1.sz.mell!E153</f>
        <v>0</v>
      </c>
      <c r="K161" s="166">
        <f t="shared" si="16"/>
        <v>0</v>
      </c>
    </row>
    <row r="162" spans="1:11" ht="12" customHeight="1" thickBot="1" x14ac:dyDescent="0.3">
      <c r="A162" s="363">
        <f t="shared" si="17"/>
        <v>61</v>
      </c>
      <c r="B162" s="39" t="str">
        <f>IB_1.1.sz.mell.!B160</f>
        <v>Váltókiadások</v>
      </c>
      <c r="C162" s="171">
        <f>IB_1.1.sz.mell.!C160</f>
        <v>0</v>
      </c>
      <c r="D162" s="224">
        <f>IB_5.1.sz.mell!C154</f>
        <v>0</v>
      </c>
      <c r="E162" s="166">
        <f t="shared" si="12"/>
        <v>0</v>
      </c>
      <c r="F162" s="171">
        <f>IB_1.1.sz.mell.!D160</f>
        <v>0</v>
      </c>
      <c r="G162" s="224">
        <f>IB_5.1.sz.mell!D154</f>
        <v>0</v>
      </c>
      <c r="H162" s="166">
        <f t="shared" si="15"/>
        <v>0</v>
      </c>
      <c r="I162" s="171">
        <f>IB_1.1.sz.mell.!E160</f>
        <v>0</v>
      </c>
      <c r="J162" s="224">
        <f>IB_5.1.sz.mell!E154</f>
        <v>0</v>
      </c>
      <c r="K162" s="166">
        <f t="shared" si="16"/>
        <v>0</v>
      </c>
    </row>
    <row r="163" spans="1:11" ht="15.2" customHeight="1" thickBot="1" x14ac:dyDescent="0.3">
      <c r="A163" s="363">
        <f t="shared" si="17"/>
        <v>62</v>
      </c>
      <c r="B163" s="39" t="s">
        <v>444</v>
      </c>
      <c r="C163" s="173">
        <f>C138+C142+C149+C155+C161+C162</f>
        <v>28820112</v>
      </c>
      <c r="D163" s="173" t="e">
        <f>D138+D142+D149+D155+D161+D162+IB_5.2.sz.mell!C55+IB_5.3.sz.mell!C55+#REF!+#REF!+#REF!+#REF!+#REF!+#REF!+#REF!+#REF!+#REF!</f>
        <v>#REF!</v>
      </c>
      <c r="E163" s="167" t="e">
        <f t="shared" si="12"/>
        <v>#REF!</v>
      </c>
      <c r="F163" s="173">
        <f>F138+F142+F149+F155+F161+F162</f>
        <v>28820112</v>
      </c>
      <c r="G163" s="173" t="e">
        <f>G138+G142+G149+G155+G161+G162+IB_5.2.sz.mell!D55+IB_5.3.sz.mell!D55+#REF!+#REF!+#REF!+#REF!+#REF!+#REF!+#REF!+#REF!+#REF!</f>
        <v>#REF!</v>
      </c>
      <c r="H163" s="167" t="e">
        <f t="shared" si="15"/>
        <v>#REF!</v>
      </c>
      <c r="I163" s="173">
        <f>I138+I142+I149+I155+I161+I162</f>
        <v>28820512</v>
      </c>
      <c r="J163" s="173" t="e">
        <f>J138+J142+J149+J155+J161+J162+IB_5.2.sz.mell!E55+IB_5.3.sz.mell!E55+#REF!+#REF!+#REF!+#REF!+#REF!+#REF!+#REF!+#REF!+#REF!</f>
        <v>#REF!</v>
      </c>
      <c r="K163" s="167" t="e">
        <f t="shared" si="16"/>
        <v>#REF!</v>
      </c>
    </row>
    <row r="164" spans="1:11" s="126" customFormat="1" ht="12.95" customHeight="1" thickBot="1" x14ac:dyDescent="0.25">
      <c r="A164" s="340">
        <f t="shared" si="17"/>
        <v>63</v>
      </c>
      <c r="B164" s="105" t="s">
        <v>445</v>
      </c>
      <c r="C164" s="173">
        <f>C163+C137</f>
        <v>2270419231</v>
      </c>
      <c r="D164" s="173" t="e">
        <f>D163+D137</f>
        <v>#REF!</v>
      </c>
      <c r="E164" s="167" t="e">
        <f t="shared" si="12"/>
        <v>#REF!</v>
      </c>
      <c r="F164" s="173">
        <f>F163+F137</f>
        <v>2298071578</v>
      </c>
      <c r="G164" s="173" t="e">
        <f>G163+G137</f>
        <v>#REF!</v>
      </c>
      <c r="H164" s="167" t="e">
        <f t="shared" si="15"/>
        <v>#REF!</v>
      </c>
      <c r="I164" s="173">
        <f>I163+I137</f>
        <v>824151941</v>
      </c>
      <c r="J164" s="173" t="e">
        <f>J163+J137</f>
        <v>#REF!</v>
      </c>
      <c r="K164" s="167" t="e">
        <f t="shared" si="16"/>
        <v>#REF!</v>
      </c>
    </row>
    <row r="165" spans="1:11" ht="16.5" thickBot="1" x14ac:dyDescent="0.3">
      <c r="A165" s="340">
        <f t="shared" si="17"/>
        <v>64</v>
      </c>
      <c r="B165" s="131" t="str">
        <f>B152</f>
        <v>Központi, irányító szervi támogatás</v>
      </c>
      <c r="C165" s="359"/>
      <c r="D165" s="347">
        <f>D152</f>
        <v>242498344</v>
      </c>
      <c r="E165" s="354"/>
      <c r="F165" s="359"/>
      <c r="G165" s="347">
        <f>G152</f>
        <v>242498344</v>
      </c>
      <c r="H165" s="354"/>
      <c r="I165" s="359"/>
      <c r="J165" s="347">
        <f>J152</f>
        <v>0</v>
      </c>
      <c r="K165" s="354"/>
    </row>
    <row r="166" spans="1:11" ht="16.5" thickBot="1" x14ac:dyDescent="0.3">
      <c r="A166" s="340">
        <f t="shared" si="17"/>
        <v>65</v>
      </c>
      <c r="B166" s="131" t="s">
        <v>446</v>
      </c>
      <c r="C166" s="359"/>
      <c r="D166" s="347" t="e">
        <f>D164+D165</f>
        <v>#REF!</v>
      </c>
      <c r="E166" s="354"/>
      <c r="F166" s="359"/>
      <c r="G166" s="347" t="e">
        <f>G164+G165</f>
        <v>#REF!</v>
      </c>
      <c r="H166" s="354"/>
      <c r="I166" s="359"/>
      <c r="J166" s="347" t="e">
        <f>J164+J165</f>
        <v>#REF!</v>
      </c>
      <c r="K166" s="354"/>
    </row>
    <row r="167" spans="1:11" ht="16.5" thickBot="1" x14ac:dyDescent="0.3">
      <c r="A167" s="335">
        <f t="shared" si="17"/>
        <v>66</v>
      </c>
      <c r="B167" s="360" t="s">
        <v>450</v>
      </c>
      <c r="C167" s="359"/>
      <c r="D167" s="359"/>
      <c r="E167" s="76" t="e">
        <f>D97-D166</f>
        <v>#REF!</v>
      </c>
      <c r="F167" s="359"/>
      <c r="G167" s="359"/>
      <c r="H167" s="76" t="e">
        <f>G97-G166</f>
        <v>#REF!</v>
      </c>
      <c r="I167" s="359"/>
      <c r="J167" s="359"/>
      <c r="K167" s="354"/>
    </row>
    <row r="168" spans="1:11" x14ac:dyDescent="0.25">
      <c r="A168" s="562" t="s">
        <v>141</v>
      </c>
      <c r="B168" s="562"/>
      <c r="C168" s="562"/>
      <c r="D168" s="562"/>
      <c r="E168" s="562"/>
      <c r="F168" s="562"/>
      <c r="G168" s="562"/>
      <c r="H168" s="562"/>
      <c r="I168" s="562"/>
      <c r="J168" s="562"/>
      <c r="K168" s="562"/>
    </row>
    <row r="169" spans="1:11" ht="15.2" customHeight="1" thickBot="1" x14ac:dyDescent="0.3">
      <c r="A169" s="527"/>
      <c r="B169" s="527"/>
      <c r="C169" s="78"/>
      <c r="E169" s="78"/>
      <c r="K169" s="356" t="str">
        <f>K98</f>
        <v>Forintban!</v>
      </c>
    </row>
    <row r="170" spans="1:11" ht="15.2" customHeight="1" x14ac:dyDescent="0.25">
      <c r="A170" s="528" t="s">
        <v>44</v>
      </c>
      <c r="B170" s="530" t="s">
        <v>37</v>
      </c>
      <c r="C170" s="559" t="str">
        <f>C99</f>
        <v>2024. évi</v>
      </c>
      <c r="D170" s="560"/>
      <c r="E170" s="560"/>
      <c r="F170" s="560"/>
      <c r="G170" s="560"/>
      <c r="H170" s="560"/>
      <c r="I170" s="560"/>
      <c r="J170" s="560"/>
      <c r="K170" s="561"/>
    </row>
    <row r="171" spans="1:11" ht="48.75" thickBot="1" x14ac:dyDescent="0.3">
      <c r="A171" s="529"/>
      <c r="B171" s="531"/>
      <c r="C171" s="245" t="str">
        <f>C100</f>
        <v>Eredeti
előirányzat 1.1.sz.mell. adatai</v>
      </c>
      <c r="D171" s="245" t="str">
        <f t="shared" ref="D171:K171" si="18">D100</f>
        <v>Eredeti
előirányzat 9.1., 9.2.,…,9.12.sz.mell. adatai</v>
      </c>
      <c r="E171" s="245" t="str">
        <f t="shared" si="18"/>
        <v>Eltérés</v>
      </c>
      <c r="F171" s="245" t="str">
        <f t="shared" si="18"/>
        <v>Módosított
előirányzat 1.1.sz.mell. Adatai</v>
      </c>
      <c r="G171" s="245" t="str">
        <f t="shared" si="18"/>
        <v>Módosított
előirányzat 9.1., 9.2.,…,9.12.sz.mell. adatai</v>
      </c>
      <c r="H171" s="245" t="str">
        <f t="shared" si="18"/>
        <v>Eltérés</v>
      </c>
      <c r="I171" s="245" t="str">
        <f t="shared" si="18"/>
        <v>Teljesítés 1.1.sz.mell. adatai</v>
      </c>
      <c r="J171" s="245" t="str">
        <f t="shared" si="18"/>
        <v>Teljesítés 9.1., 9.2.,…,9.12.sz.mell. adatai</v>
      </c>
      <c r="K171" s="245" t="str">
        <f t="shared" si="18"/>
        <v>Eltérés</v>
      </c>
    </row>
    <row r="172" spans="1:11" ht="25.5" customHeight="1" thickBot="1" x14ac:dyDescent="0.3">
      <c r="A172" s="18">
        <f>IB_1.1.sz.mell.!A166</f>
        <v>1</v>
      </c>
      <c r="B172" s="16" t="str">
        <f>IB_1.1.sz.mell.!B166</f>
        <v>Költségvetési hiány, többlet ( költségvetési bevételek 59. sor - költségvetési kiadások 36. sor) (+/-)</v>
      </c>
      <c r="C172" s="228">
        <f>IB_1.1.sz.mell.!C166</f>
        <v>-755376723</v>
      </c>
      <c r="D172" s="115" t="e">
        <f>+D69-D137</f>
        <v>#REF!</v>
      </c>
      <c r="E172" s="66" t="e">
        <f>D172-C172</f>
        <v>#REF!</v>
      </c>
      <c r="F172" s="228">
        <f>IB_1.1.sz.mell.!D166</f>
        <v>-755376723</v>
      </c>
      <c r="G172" s="115" t="e">
        <f>+G69-G137</f>
        <v>#REF!</v>
      </c>
      <c r="H172" s="66" t="e">
        <f>G172-F172</f>
        <v>#REF!</v>
      </c>
      <c r="I172" s="228">
        <f>IB_1.1.sz.mell.!E166</f>
        <v>8880670</v>
      </c>
      <c r="J172" s="115" t="e">
        <f>+J69-J137</f>
        <v>#REF!</v>
      </c>
      <c r="K172" s="66" t="e">
        <f>J172-I172</f>
        <v>#REF!</v>
      </c>
    </row>
    <row r="173" spans="1:11" ht="32.450000000000003" customHeight="1" thickBot="1" x14ac:dyDescent="0.3">
      <c r="A173" s="18">
        <f>IB_1.1.sz.mell.!A167</f>
        <v>2</v>
      </c>
      <c r="B173" s="16" t="s">
        <v>449</v>
      </c>
      <c r="C173" s="115">
        <f>IB_1.1.sz.mell.!C167</f>
        <v>755376723</v>
      </c>
      <c r="D173" s="115" t="e">
        <f>+D94-D163</f>
        <v>#REF!</v>
      </c>
      <c r="E173" s="66" t="e">
        <f>D173-C173</f>
        <v>#REF!</v>
      </c>
      <c r="F173" s="115">
        <f>IB_1.1.sz.mell.!D167</f>
        <v>755376723</v>
      </c>
      <c r="G173" s="115" t="e">
        <f>+G94-G163</f>
        <v>#REF!</v>
      </c>
      <c r="H173" s="66" t="e">
        <f>G173-F173</f>
        <v>#REF!</v>
      </c>
      <c r="I173" s="115">
        <f>IB_1.1.sz.mell.!E167</f>
        <v>755376323</v>
      </c>
      <c r="J173" s="115" t="e">
        <f>+J94-J163</f>
        <v>#REF!</v>
      </c>
      <c r="K173" s="66" t="e">
        <f>J173-I173</f>
        <v>#REF!</v>
      </c>
    </row>
  </sheetData>
  <sheetProtection sheet="1"/>
  <mergeCells count="18">
    <mergeCell ref="C8:K8"/>
    <mergeCell ref="A8:A9"/>
    <mergeCell ref="B8:B9"/>
    <mergeCell ref="B1:E1"/>
    <mergeCell ref="A4:E4"/>
    <mergeCell ref="A7:B7"/>
    <mergeCell ref="A2:K2"/>
    <mergeCell ref="A3:K3"/>
    <mergeCell ref="A6:K6"/>
    <mergeCell ref="A170:A171"/>
    <mergeCell ref="B170:B171"/>
    <mergeCell ref="C170:K170"/>
    <mergeCell ref="A168:K168"/>
    <mergeCell ref="A98:J98"/>
    <mergeCell ref="C99:K99"/>
    <mergeCell ref="A169:B169"/>
    <mergeCell ref="A99:A100"/>
    <mergeCell ref="B99:B100"/>
  </mergeCells>
  <phoneticPr fontId="23" type="noConversion"/>
  <conditionalFormatting sqref="E11:E97">
    <cfRule type="cellIs" dxfId="9" priority="15" stopIfTrue="1" operator="notEqual">
      <formula>0</formula>
    </cfRule>
  </conditionalFormatting>
  <conditionalFormatting sqref="E102:E167">
    <cfRule type="cellIs" dxfId="8" priority="13" stopIfTrue="1" operator="notEqual">
      <formula>0</formula>
    </cfRule>
  </conditionalFormatting>
  <conditionalFormatting sqref="E172:E173">
    <cfRule type="cellIs" dxfId="7" priority="12" stopIfTrue="1" operator="notEqual">
      <formula>0</formula>
    </cfRule>
  </conditionalFormatting>
  <conditionalFormatting sqref="H11:H97">
    <cfRule type="cellIs" dxfId="6" priority="9" stopIfTrue="1" operator="notEqual">
      <formula>0</formula>
    </cfRule>
  </conditionalFormatting>
  <conditionalFormatting sqref="H102:H167">
    <cfRule type="cellIs" dxfId="5" priority="4" stopIfTrue="1" operator="notEqual">
      <formula>0</formula>
    </cfRule>
  </conditionalFormatting>
  <conditionalFormatting sqref="H172:H173 K172:K173">
    <cfRule type="cellIs" dxfId="4" priority="1" stopIfTrue="1" operator="notEqual">
      <formula>0</formula>
    </cfRule>
  </conditionalFormatting>
  <conditionalFormatting sqref="K11:K97">
    <cfRule type="cellIs" dxfId="3" priority="6" stopIfTrue="1" operator="notEqual">
      <formula>0</formula>
    </cfRule>
  </conditionalFormatting>
  <conditionalFormatting sqref="K102:K167">
    <cfRule type="cellIs" dxfId="2" priority="2" stopIfTrue="1" operator="notEqual">
      <formula>0</formula>
    </cfRule>
  </conditionalFormatting>
  <printOptions horizontalCentered="1"/>
  <pageMargins left="0.6692913385826772" right="0.6692913385826772" top="0.86614173228346458" bottom="0.86614173228346458" header="0" footer="0"/>
  <pageSetup paperSize="9" scale="53" fitToHeight="2" orientation="landscape" r:id="rId1"/>
  <headerFooter alignWithMargins="0"/>
  <rowBreaks count="3" manualBreakCount="3">
    <brk id="69" max="10" man="1"/>
    <brk id="97" max="10" man="1"/>
    <brk id="137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P73"/>
  <sheetViews>
    <sheetView workbookViewId="0">
      <selection activeCell="M12" sqref="M12"/>
    </sheetView>
  </sheetViews>
  <sheetFormatPr defaultRowHeight="12.75" x14ac:dyDescent="0.2"/>
  <cols>
    <col min="1" max="1" width="6.6640625" customWidth="1"/>
    <col min="2" max="2" width="69.6640625" bestFit="1" customWidth="1"/>
    <col min="3" max="3" width="16.1640625" customWidth="1"/>
    <col min="4" max="5" width="15.83203125" customWidth="1"/>
    <col min="6" max="6" width="10.1640625" bestFit="1" customWidth="1"/>
  </cols>
  <sheetData>
    <row r="1" spans="1:8" ht="15" x14ac:dyDescent="0.25">
      <c r="C1" s="200"/>
      <c r="D1" s="200"/>
      <c r="E1" s="202" t="s">
        <v>652</v>
      </c>
    </row>
    <row r="2" spans="1:8" ht="36.75" customHeight="1" x14ac:dyDescent="0.25">
      <c r="A2" s="565" t="str">
        <f>+CONCATENATE("K I M U T A T Á S",CHAR(10)," a ",LEFT(IB_ÖSSZEFÜGGÉSEK!A6,4),". évben céljelleggel juttatott támogatásokról")</f>
        <v>K I M U T A T Á S
 a 2024. évben céljelleggel juttatott támogatásokról</v>
      </c>
      <c r="B2" s="565"/>
      <c r="C2" s="565"/>
      <c r="D2" s="565"/>
      <c r="E2" s="565"/>
    </row>
    <row r="3" spans="1:8" ht="15.75" x14ac:dyDescent="0.25">
      <c r="A3" s="102"/>
      <c r="B3" s="102"/>
      <c r="C3" s="102"/>
      <c r="D3" s="102"/>
      <c r="E3" s="102"/>
    </row>
    <row r="4" spans="1:8" ht="13.5" thickBot="1" x14ac:dyDescent="0.25">
      <c r="C4" s="566"/>
      <c r="D4" s="566"/>
      <c r="E4" s="566"/>
    </row>
    <row r="5" spans="1:8" ht="39" thickBot="1" x14ac:dyDescent="0.25">
      <c r="A5" s="103" t="s">
        <v>44</v>
      </c>
      <c r="B5" s="104" t="s">
        <v>45</v>
      </c>
      <c r="C5" s="367" t="s">
        <v>457</v>
      </c>
      <c r="D5" s="368" t="s">
        <v>458</v>
      </c>
      <c r="E5" s="368" t="s">
        <v>645</v>
      </c>
    </row>
    <row r="6" spans="1:8" ht="13.5" thickBot="1" x14ac:dyDescent="0.25">
      <c r="A6" s="103" t="s">
        <v>190</v>
      </c>
      <c r="B6" s="104" t="s">
        <v>191</v>
      </c>
      <c r="C6" s="367" t="s">
        <v>194</v>
      </c>
      <c r="D6" s="366" t="s">
        <v>193</v>
      </c>
      <c r="E6" s="368" t="s">
        <v>459</v>
      </c>
    </row>
    <row r="7" spans="1:8" ht="13.5" thickBot="1" x14ac:dyDescent="0.25">
      <c r="A7" s="423">
        <v>1</v>
      </c>
      <c r="B7" s="413" t="s">
        <v>581</v>
      </c>
      <c r="C7" s="414">
        <f>SUM(C8:C31)</f>
        <v>691461527</v>
      </c>
      <c r="D7" s="414">
        <f>SUM(D8:D32)</f>
        <v>686418857</v>
      </c>
      <c r="E7" s="414">
        <f>SUM(E8:E32)</f>
        <v>332677214.5</v>
      </c>
    </row>
    <row r="8" spans="1:8" x14ac:dyDescent="0.2">
      <c r="A8" s="423">
        <v>2</v>
      </c>
      <c r="B8" s="6" t="s">
        <v>521</v>
      </c>
      <c r="C8" s="415">
        <v>7713081</v>
      </c>
      <c r="D8" s="448">
        <v>7713081</v>
      </c>
      <c r="E8" s="369">
        <f>D8/2</f>
        <v>3856540.5</v>
      </c>
      <c r="H8" s="327"/>
    </row>
    <row r="9" spans="1:8" x14ac:dyDescent="0.2">
      <c r="A9" s="423">
        <v>3</v>
      </c>
      <c r="B9" s="424" t="s">
        <v>522</v>
      </c>
      <c r="C9" s="421">
        <v>55615010</v>
      </c>
      <c r="D9" s="448">
        <v>55615010</v>
      </c>
      <c r="E9" s="369">
        <v>25277065</v>
      </c>
    </row>
    <row r="10" spans="1:8" x14ac:dyDescent="0.2">
      <c r="A10" s="423">
        <v>4</v>
      </c>
      <c r="B10" s="6" t="s">
        <v>523</v>
      </c>
      <c r="C10" s="420">
        <v>3630540</v>
      </c>
      <c r="D10" s="448">
        <v>3630540</v>
      </c>
      <c r="E10" s="369">
        <f t="shared" ref="E10:E26" si="0">D10/2</f>
        <v>1815270</v>
      </c>
    </row>
    <row r="11" spans="1:8" x14ac:dyDescent="0.2">
      <c r="A11" s="423">
        <v>5</v>
      </c>
      <c r="B11" s="424" t="s">
        <v>524</v>
      </c>
      <c r="C11" s="421">
        <v>15217460</v>
      </c>
      <c r="D11" s="448">
        <v>15217460</v>
      </c>
      <c r="E11" s="369">
        <f t="shared" si="0"/>
        <v>7608730</v>
      </c>
    </row>
    <row r="12" spans="1:8" x14ac:dyDescent="0.2">
      <c r="A12" s="423">
        <v>6</v>
      </c>
      <c r="B12" s="6" t="s">
        <v>525</v>
      </c>
      <c r="C12" s="415">
        <v>20951112</v>
      </c>
      <c r="D12" s="448">
        <v>20951112</v>
      </c>
      <c r="E12" s="369">
        <f t="shared" si="0"/>
        <v>10475556</v>
      </c>
    </row>
    <row r="13" spans="1:8" ht="21" x14ac:dyDescent="0.2">
      <c r="A13" s="423">
        <v>7</v>
      </c>
      <c r="B13" s="424" t="s">
        <v>526</v>
      </c>
      <c r="C13" s="421">
        <v>11293270</v>
      </c>
      <c r="D13" s="448">
        <v>11293270</v>
      </c>
      <c r="E13" s="369">
        <f t="shared" si="0"/>
        <v>5646635</v>
      </c>
    </row>
    <row r="14" spans="1:8" x14ac:dyDescent="0.2">
      <c r="A14" s="423">
        <v>8</v>
      </c>
      <c r="B14" s="6" t="s">
        <v>527</v>
      </c>
      <c r="C14" s="415">
        <v>5483351</v>
      </c>
      <c r="D14" s="448">
        <v>5483351</v>
      </c>
      <c r="E14" s="369">
        <f t="shared" si="0"/>
        <v>2741675.5</v>
      </c>
    </row>
    <row r="15" spans="1:8" x14ac:dyDescent="0.2">
      <c r="A15" s="423">
        <v>9</v>
      </c>
      <c r="B15" s="6" t="s">
        <v>528</v>
      </c>
      <c r="C15" s="415">
        <v>24328780</v>
      </c>
      <c r="D15" s="448">
        <v>24328780</v>
      </c>
      <c r="E15" s="369">
        <f t="shared" si="0"/>
        <v>12164390</v>
      </c>
    </row>
    <row r="16" spans="1:8" x14ac:dyDescent="0.2">
      <c r="A16" s="423">
        <v>10</v>
      </c>
      <c r="B16" s="424" t="s">
        <v>529</v>
      </c>
      <c r="C16" s="421">
        <v>6534220</v>
      </c>
      <c r="D16" s="448">
        <v>6534220</v>
      </c>
      <c r="E16" s="369">
        <f t="shared" si="0"/>
        <v>3267110</v>
      </c>
    </row>
    <row r="17" spans="1:16" x14ac:dyDescent="0.2">
      <c r="A17" s="423">
        <v>11</v>
      </c>
      <c r="B17" s="425" t="s">
        <v>530</v>
      </c>
      <c r="C17" s="415">
        <v>2844100</v>
      </c>
      <c r="D17" s="448">
        <v>2844100</v>
      </c>
      <c r="E17" s="369">
        <f t="shared" si="0"/>
        <v>1422050</v>
      </c>
      <c r="N17" s="327"/>
    </row>
    <row r="18" spans="1:16" x14ac:dyDescent="0.2">
      <c r="A18" s="423">
        <v>12</v>
      </c>
      <c r="B18" s="424" t="s">
        <v>531</v>
      </c>
      <c r="C18" s="421">
        <v>45679110</v>
      </c>
      <c r="D18" s="448">
        <v>45679110</v>
      </c>
      <c r="E18" s="369">
        <f t="shared" si="0"/>
        <v>22839555</v>
      </c>
    </row>
    <row r="19" spans="1:16" x14ac:dyDescent="0.2">
      <c r="A19" s="423">
        <v>13</v>
      </c>
      <c r="B19" s="424" t="s">
        <v>532</v>
      </c>
      <c r="C19" s="421">
        <v>200090800</v>
      </c>
      <c r="D19" s="448">
        <v>200090800</v>
      </c>
      <c r="E19" s="369">
        <v>92442417</v>
      </c>
    </row>
    <row r="20" spans="1:16" x14ac:dyDescent="0.2">
      <c r="A20" s="423">
        <v>14</v>
      </c>
      <c r="B20" s="424" t="s">
        <v>533</v>
      </c>
      <c r="C20" s="422">
        <v>7026600</v>
      </c>
      <c r="D20" s="448">
        <v>7026600</v>
      </c>
      <c r="E20" s="369">
        <f t="shared" si="0"/>
        <v>3513300</v>
      </c>
      <c r="P20" s="327"/>
    </row>
    <row r="21" spans="1:16" x14ac:dyDescent="0.2">
      <c r="A21" s="423">
        <v>15</v>
      </c>
      <c r="B21" s="424" t="s">
        <v>534</v>
      </c>
      <c r="C21" s="421">
        <v>5736000</v>
      </c>
      <c r="D21" s="448">
        <v>5736000</v>
      </c>
      <c r="E21" s="369">
        <f t="shared" si="0"/>
        <v>2868000</v>
      </c>
    </row>
    <row r="22" spans="1:16" x14ac:dyDescent="0.2">
      <c r="A22" s="423">
        <v>16</v>
      </c>
      <c r="B22" s="424" t="s">
        <v>535</v>
      </c>
      <c r="C22" s="421">
        <v>89556000</v>
      </c>
      <c r="D22" s="448">
        <v>89556000</v>
      </c>
      <c r="E22" s="369">
        <f t="shared" si="0"/>
        <v>44778000</v>
      </c>
    </row>
    <row r="23" spans="1:16" x14ac:dyDescent="0.2">
      <c r="A23" s="423">
        <v>17</v>
      </c>
      <c r="B23" s="424" t="s">
        <v>536</v>
      </c>
      <c r="C23" s="421">
        <v>36637200</v>
      </c>
      <c r="D23" s="448">
        <v>36637200</v>
      </c>
      <c r="E23" s="369">
        <f t="shared" si="0"/>
        <v>18318600</v>
      </c>
    </row>
    <row r="24" spans="1:16" x14ac:dyDescent="0.2">
      <c r="A24" s="423">
        <v>18</v>
      </c>
      <c r="B24" s="424" t="s">
        <v>537</v>
      </c>
      <c r="C24" s="421">
        <v>127035522</v>
      </c>
      <c r="D24" s="448">
        <v>127035522</v>
      </c>
      <c r="E24" s="369">
        <f t="shared" si="0"/>
        <v>63517761</v>
      </c>
    </row>
    <row r="25" spans="1:16" x14ac:dyDescent="0.2">
      <c r="A25" s="423">
        <v>19</v>
      </c>
      <c r="B25" s="151" t="s">
        <v>538</v>
      </c>
      <c r="C25" s="420">
        <v>14592131</v>
      </c>
      <c r="D25" s="448">
        <v>7856738</v>
      </c>
      <c r="E25" s="369">
        <f t="shared" si="0"/>
        <v>3928369</v>
      </c>
    </row>
    <row r="26" spans="1:16" x14ac:dyDescent="0.2">
      <c r="A26" s="423">
        <v>20</v>
      </c>
      <c r="B26" s="6" t="s">
        <v>539</v>
      </c>
      <c r="C26" s="415">
        <v>5547387</v>
      </c>
      <c r="D26" s="448">
        <v>5547387</v>
      </c>
      <c r="E26" s="369">
        <f t="shared" si="0"/>
        <v>2773693.5</v>
      </c>
    </row>
    <row r="27" spans="1:16" x14ac:dyDescent="0.2">
      <c r="A27" s="423">
        <v>21</v>
      </c>
      <c r="B27" s="426" t="s">
        <v>540</v>
      </c>
      <c r="C27" s="415">
        <v>600000</v>
      </c>
      <c r="D27" s="448">
        <v>600000</v>
      </c>
      <c r="E27" s="369">
        <v>600000</v>
      </c>
    </row>
    <row r="28" spans="1:16" x14ac:dyDescent="0.2">
      <c r="A28" s="423">
        <v>22</v>
      </c>
      <c r="B28" s="426" t="s">
        <v>541</v>
      </c>
      <c r="C28" s="415">
        <v>300000</v>
      </c>
      <c r="D28" s="448">
        <v>300000</v>
      </c>
      <c r="E28" s="369">
        <v>300000</v>
      </c>
    </row>
    <row r="29" spans="1:16" x14ac:dyDescent="0.2">
      <c r="A29" s="423">
        <v>23</v>
      </c>
      <c r="B29" s="426" t="s">
        <v>542</v>
      </c>
      <c r="C29" s="415">
        <v>1600000</v>
      </c>
      <c r="D29" s="448">
        <v>1600000</v>
      </c>
      <c r="E29" s="369">
        <v>670000</v>
      </c>
    </row>
    <row r="30" spans="1:16" x14ac:dyDescent="0.2">
      <c r="A30" s="423">
        <v>24</v>
      </c>
      <c r="B30" s="427" t="s">
        <v>543</v>
      </c>
      <c r="C30" s="416">
        <v>2000000</v>
      </c>
      <c r="D30" s="448">
        <v>2000000</v>
      </c>
      <c r="E30" s="369">
        <v>1852497</v>
      </c>
    </row>
    <row r="31" spans="1:16" x14ac:dyDescent="0.2">
      <c r="A31" s="423">
        <v>25</v>
      </c>
      <c r="B31" s="426" t="s">
        <v>544</v>
      </c>
      <c r="C31" s="434">
        <v>1449853</v>
      </c>
      <c r="D31" s="448">
        <v>1449853</v>
      </c>
      <c r="E31" s="369"/>
    </row>
    <row r="32" spans="1:16" ht="13.5" thickBot="1" x14ac:dyDescent="0.25">
      <c r="A32" s="423">
        <v>26</v>
      </c>
      <c r="B32" s="429" t="s">
        <v>582</v>
      </c>
      <c r="C32" s="430"/>
      <c r="D32" s="448">
        <v>1692723</v>
      </c>
      <c r="E32" s="369"/>
    </row>
    <row r="33" spans="1:5" ht="13.5" thickBot="1" x14ac:dyDescent="0.25">
      <c r="A33" s="423">
        <v>27</v>
      </c>
      <c r="B33" s="417" t="s">
        <v>545</v>
      </c>
      <c r="C33" s="414">
        <f>SUM(C34:C64)</f>
        <v>280794688</v>
      </c>
      <c r="D33" s="414">
        <f>SUM(D34:D64)</f>
        <v>288684658</v>
      </c>
      <c r="E33" s="414">
        <f>SUM(E34:E67)</f>
        <v>174489188</v>
      </c>
    </row>
    <row r="34" spans="1:5" x14ac:dyDescent="0.2">
      <c r="A34" s="423">
        <v>28</v>
      </c>
      <c r="B34" s="427" t="s">
        <v>546</v>
      </c>
      <c r="C34" s="505">
        <v>800000</v>
      </c>
      <c r="D34" s="506">
        <v>800000</v>
      </c>
      <c r="E34" s="511">
        <v>800000</v>
      </c>
    </row>
    <row r="35" spans="1:5" x14ac:dyDescent="0.2">
      <c r="A35" s="423">
        <v>29</v>
      </c>
      <c r="B35" s="426" t="s">
        <v>547</v>
      </c>
      <c r="C35" s="507">
        <v>10500000</v>
      </c>
      <c r="D35" s="506">
        <v>10500000</v>
      </c>
      <c r="E35" s="512">
        <v>7875000</v>
      </c>
    </row>
    <row r="36" spans="1:5" x14ac:dyDescent="0.2">
      <c r="A36" s="423">
        <v>30</v>
      </c>
      <c r="B36" s="426" t="s">
        <v>548</v>
      </c>
      <c r="C36" s="507">
        <v>740000</v>
      </c>
      <c r="D36" s="506">
        <v>740000</v>
      </c>
      <c r="E36" s="512">
        <v>740000</v>
      </c>
    </row>
    <row r="37" spans="1:5" x14ac:dyDescent="0.2">
      <c r="A37" s="423">
        <v>31</v>
      </c>
      <c r="B37" s="426" t="s">
        <v>549</v>
      </c>
      <c r="C37" s="507">
        <v>490000</v>
      </c>
      <c r="D37" s="506">
        <v>490000</v>
      </c>
      <c r="E37" s="512">
        <v>490000</v>
      </c>
    </row>
    <row r="38" spans="1:5" x14ac:dyDescent="0.2">
      <c r="A38" s="423">
        <v>32</v>
      </c>
      <c r="B38" s="431" t="s">
        <v>550</v>
      </c>
      <c r="C38" s="507">
        <v>300000</v>
      </c>
      <c r="D38" s="506">
        <v>300000</v>
      </c>
      <c r="E38" s="512">
        <v>300000</v>
      </c>
    </row>
    <row r="39" spans="1:5" x14ac:dyDescent="0.2">
      <c r="A39" s="423">
        <v>33</v>
      </c>
      <c r="B39" s="74" t="s">
        <v>551</v>
      </c>
      <c r="C39" s="507">
        <v>1000000</v>
      </c>
      <c r="D39" s="506">
        <v>1000000</v>
      </c>
      <c r="E39" s="512">
        <v>1000000</v>
      </c>
    </row>
    <row r="40" spans="1:5" x14ac:dyDescent="0.2">
      <c r="A40" s="423">
        <v>34</v>
      </c>
      <c r="B40" s="74" t="s">
        <v>552</v>
      </c>
      <c r="C40" s="507">
        <v>3464450</v>
      </c>
      <c r="D40" s="506">
        <v>3464450</v>
      </c>
      <c r="E40" s="512">
        <v>2598450</v>
      </c>
    </row>
    <row r="41" spans="1:5" x14ac:dyDescent="0.2">
      <c r="A41" s="423">
        <v>35</v>
      </c>
      <c r="B41" s="74" t="s">
        <v>553</v>
      </c>
      <c r="C41" s="507">
        <v>300000</v>
      </c>
      <c r="D41" s="445">
        <v>300000</v>
      </c>
      <c r="E41" s="513">
        <v>300000</v>
      </c>
    </row>
    <row r="42" spans="1:5" x14ac:dyDescent="0.2">
      <c r="A42" s="423">
        <v>36</v>
      </c>
      <c r="B42" s="74" t="s">
        <v>554</v>
      </c>
      <c r="C42" s="507">
        <v>500000</v>
      </c>
      <c r="D42" s="445">
        <v>500000</v>
      </c>
      <c r="E42" s="513">
        <v>500000</v>
      </c>
    </row>
    <row r="43" spans="1:5" x14ac:dyDescent="0.2">
      <c r="A43" s="423">
        <v>37</v>
      </c>
      <c r="B43" s="74" t="s">
        <v>555</v>
      </c>
      <c r="C43" s="507">
        <v>1500000</v>
      </c>
      <c r="D43" s="445">
        <v>1500000</v>
      </c>
      <c r="E43" s="513">
        <v>1500000</v>
      </c>
    </row>
    <row r="44" spans="1:5" x14ac:dyDescent="0.2">
      <c r="A44" s="423">
        <v>38</v>
      </c>
      <c r="B44" s="74" t="s">
        <v>556</v>
      </c>
      <c r="C44" s="507">
        <v>400000</v>
      </c>
      <c r="D44" s="445">
        <v>600000</v>
      </c>
      <c r="E44" s="513">
        <v>600000</v>
      </c>
    </row>
    <row r="45" spans="1:5" x14ac:dyDescent="0.2">
      <c r="A45" s="423">
        <v>39</v>
      </c>
      <c r="B45" s="74" t="s">
        <v>557</v>
      </c>
      <c r="C45" s="507">
        <v>400000</v>
      </c>
      <c r="D45" s="445">
        <v>400000</v>
      </c>
      <c r="E45" s="513">
        <v>400000</v>
      </c>
    </row>
    <row r="46" spans="1:5" x14ac:dyDescent="0.2">
      <c r="A46" s="423">
        <v>40</v>
      </c>
      <c r="B46" s="418" t="s">
        <v>558</v>
      </c>
      <c r="C46" s="507">
        <v>1000000</v>
      </c>
      <c r="D46" s="445">
        <v>600000</v>
      </c>
      <c r="E46" s="513">
        <v>600000</v>
      </c>
    </row>
    <row r="47" spans="1:5" x14ac:dyDescent="0.2">
      <c r="A47" s="423">
        <v>41</v>
      </c>
      <c r="B47" s="418" t="s">
        <v>559</v>
      </c>
      <c r="C47" s="507">
        <v>1200000</v>
      </c>
      <c r="D47" s="445">
        <v>1500000</v>
      </c>
      <c r="E47" s="513">
        <v>1500000</v>
      </c>
    </row>
    <row r="48" spans="1:5" x14ac:dyDescent="0.2">
      <c r="A48" s="423">
        <v>42</v>
      </c>
      <c r="B48" s="432" t="s">
        <v>560</v>
      </c>
      <c r="C48" s="508">
        <v>70217000</v>
      </c>
      <c r="D48" s="445">
        <v>70217000</v>
      </c>
      <c r="E48" s="513">
        <v>31396000</v>
      </c>
    </row>
    <row r="49" spans="1:5" x14ac:dyDescent="0.2">
      <c r="A49" s="423">
        <v>43</v>
      </c>
      <c r="B49" s="432" t="s">
        <v>561</v>
      </c>
      <c r="C49" s="508">
        <v>1150000</v>
      </c>
      <c r="D49" s="445">
        <v>1150000</v>
      </c>
      <c r="E49" s="513">
        <v>1150000</v>
      </c>
    </row>
    <row r="50" spans="1:5" x14ac:dyDescent="0.2">
      <c r="A50" s="423">
        <v>44</v>
      </c>
      <c r="B50" s="432" t="s">
        <v>562</v>
      </c>
      <c r="C50" s="508">
        <v>1477000</v>
      </c>
      <c r="D50" s="445">
        <v>1477000</v>
      </c>
      <c r="E50" s="513">
        <v>738500</v>
      </c>
    </row>
    <row r="51" spans="1:5" x14ac:dyDescent="0.2">
      <c r="A51" s="423">
        <v>45</v>
      </c>
      <c r="B51" s="432" t="s">
        <v>563</v>
      </c>
      <c r="C51" s="508">
        <v>4416000</v>
      </c>
      <c r="D51" s="445">
        <v>4416000</v>
      </c>
      <c r="E51" s="513">
        <v>2208000</v>
      </c>
    </row>
    <row r="52" spans="1:5" x14ac:dyDescent="0.2">
      <c r="A52" s="423">
        <v>46</v>
      </c>
      <c r="B52" s="433" t="s">
        <v>564</v>
      </c>
      <c r="C52" s="509">
        <v>77198000</v>
      </c>
      <c r="D52" s="445">
        <v>77198000</v>
      </c>
      <c r="E52" s="513">
        <v>38599000</v>
      </c>
    </row>
    <row r="53" spans="1:5" x14ac:dyDescent="0.2">
      <c r="A53" s="423">
        <v>47</v>
      </c>
      <c r="B53" s="433" t="s">
        <v>565</v>
      </c>
      <c r="C53" s="508">
        <v>58000000</v>
      </c>
      <c r="D53" s="445">
        <v>63366000</v>
      </c>
      <c r="E53" s="513">
        <v>31683000</v>
      </c>
    </row>
    <row r="54" spans="1:5" x14ac:dyDescent="0.2">
      <c r="A54" s="423">
        <v>48</v>
      </c>
      <c r="B54" s="412" t="s">
        <v>566</v>
      </c>
      <c r="C54" s="508">
        <v>6000000</v>
      </c>
      <c r="D54" s="445">
        <v>6000000</v>
      </c>
      <c r="E54" s="513">
        <v>3000000</v>
      </c>
    </row>
    <row r="55" spans="1:5" x14ac:dyDescent="0.2">
      <c r="A55" s="423">
        <v>49</v>
      </c>
      <c r="B55" s="433" t="s">
        <v>567</v>
      </c>
      <c r="C55" s="508">
        <v>10000000</v>
      </c>
      <c r="D55" s="445">
        <v>10000000</v>
      </c>
      <c r="E55" s="513">
        <v>5000000</v>
      </c>
    </row>
    <row r="56" spans="1:5" x14ac:dyDescent="0.2">
      <c r="A56" s="423">
        <v>50</v>
      </c>
      <c r="B56" s="433" t="s">
        <v>568</v>
      </c>
      <c r="C56" s="508">
        <v>3000000</v>
      </c>
      <c r="D56" s="445">
        <v>3000000</v>
      </c>
      <c r="E56" s="513">
        <v>1500000</v>
      </c>
    </row>
    <row r="57" spans="1:5" x14ac:dyDescent="0.2">
      <c r="A57" s="423">
        <v>51</v>
      </c>
      <c r="B57" s="433" t="s">
        <v>569</v>
      </c>
      <c r="C57" s="508">
        <v>14832000</v>
      </c>
      <c r="D57" s="445">
        <v>14832000</v>
      </c>
      <c r="E57" s="513">
        <v>7416000</v>
      </c>
    </row>
    <row r="58" spans="1:5" x14ac:dyDescent="0.2">
      <c r="A58" s="423">
        <v>52</v>
      </c>
      <c r="B58" s="433" t="s">
        <v>570</v>
      </c>
      <c r="C58" s="508">
        <v>2250000</v>
      </c>
      <c r="D58" s="445">
        <v>2250000</v>
      </c>
      <c r="E58" s="513">
        <v>2250000</v>
      </c>
    </row>
    <row r="59" spans="1:5" x14ac:dyDescent="0.2">
      <c r="A59" s="423">
        <v>53</v>
      </c>
      <c r="B59" s="433" t="s">
        <v>571</v>
      </c>
      <c r="C59" s="508">
        <v>1952500</v>
      </c>
      <c r="D59" s="445">
        <v>4376470</v>
      </c>
      <c r="E59" s="513">
        <v>1352500</v>
      </c>
    </row>
    <row r="60" spans="1:5" x14ac:dyDescent="0.2">
      <c r="A60" s="423">
        <v>54</v>
      </c>
      <c r="B60" s="431" t="s">
        <v>572</v>
      </c>
      <c r="C60" s="510">
        <v>360000</v>
      </c>
      <c r="D60" s="445">
        <v>360000</v>
      </c>
      <c r="E60" s="513">
        <v>360000</v>
      </c>
    </row>
    <row r="61" spans="1:5" x14ac:dyDescent="0.2">
      <c r="A61" s="423">
        <v>55</v>
      </c>
      <c r="B61" s="431" t="s">
        <v>573</v>
      </c>
      <c r="C61" s="509">
        <v>4000000</v>
      </c>
      <c r="D61" s="445">
        <v>4000000</v>
      </c>
      <c r="E61" s="513">
        <v>2300000</v>
      </c>
    </row>
    <row r="62" spans="1:5" x14ac:dyDescent="0.2">
      <c r="A62" s="423">
        <v>56</v>
      </c>
      <c r="B62" s="431" t="s">
        <v>574</v>
      </c>
      <c r="C62" s="509">
        <v>300000</v>
      </c>
      <c r="D62" s="445">
        <v>300000</v>
      </c>
      <c r="E62" s="513">
        <v>300000</v>
      </c>
    </row>
    <row r="63" spans="1:5" x14ac:dyDescent="0.2">
      <c r="A63" s="423">
        <v>57</v>
      </c>
      <c r="B63" s="431" t="s">
        <v>575</v>
      </c>
      <c r="C63" s="509">
        <v>100000</v>
      </c>
      <c r="D63" s="445">
        <v>100000</v>
      </c>
      <c r="E63" s="513">
        <v>100000</v>
      </c>
    </row>
    <row r="64" spans="1:5" x14ac:dyDescent="0.2">
      <c r="A64" s="423">
        <v>58</v>
      </c>
      <c r="B64" s="431" t="s">
        <v>576</v>
      </c>
      <c r="C64" s="509">
        <v>2947738</v>
      </c>
      <c r="D64" s="445">
        <v>2947738</v>
      </c>
      <c r="E64" s="513">
        <v>2947738</v>
      </c>
    </row>
    <row r="65" spans="1:5" x14ac:dyDescent="0.2">
      <c r="A65" s="423">
        <v>59</v>
      </c>
      <c r="B65" s="431" t="s">
        <v>583</v>
      </c>
      <c r="C65" s="509"/>
      <c r="D65" s="445">
        <v>16500000</v>
      </c>
      <c r="E65" s="513">
        <v>13000000</v>
      </c>
    </row>
    <row r="66" spans="1:5" x14ac:dyDescent="0.2">
      <c r="A66" s="423">
        <v>60</v>
      </c>
      <c r="B66" s="431" t="s">
        <v>584</v>
      </c>
      <c r="C66" s="509"/>
      <c r="D66" s="445">
        <v>9625000</v>
      </c>
      <c r="E66" s="513">
        <v>9625000</v>
      </c>
    </row>
    <row r="67" spans="1:5" ht="13.5" thickBot="1" x14ac:dyDescent="0.25">
      <c r="A67" s="423">
        <v>61</v>
      </c>
      <c r="B67" s="431" t="s">
        <v>585</v>
      </c>
      <c r="C67" s="509"/>
      <c r="D67" s="445">
        <v>360000</v>
      </c>
      <c r="E67" s="513">
        <v>360000</v>
      </c>
    </row>
    <row r="68" spans="1:5" ht="13.5" thickBot="1" x14ac:dyDescent="0.25">
      <c r="A68" s="423">
        <v>62</v>
      </c>
      <c r="B68" s="419" t="s">
        <v>577</v>
      </c>
      <c r="C68" s="414">
        <f>SUM(C69:C70)</f>
        <v>3050000</v>
      </c>
      <c r="D68" s="414">
        <f>SUM(D69:D70)</f>
        <v>3050000</v>
      </c>
      <c r="E68" s="514">
        <f>SUM(E69:E70)</f>
        <v>0</v>
      </c>
    </row>
    <row r="69" spans="1:5" x14ac:dyDescent="0.2">
      <c r="A69" s="423">
        <v>63</v>
      </c>
      <c r="B69" s="446" t="s">
        <v>578</v>
      </c>
      <c r="C69" s="415">
        <v>250000</v>
      </c>
      <c r="D69" s="445">
        <v>250000</v>
      </c>
      <c r="E69" s="515"/>
    </row>
    <row r="70" spans="1:5" ht="13.5" thickBot="1" x14ac:dyDescent="0.25">
      <c r="A70" s="423">
        <v>64</v>
      </c>
      <c r="B70" s="446" t="s">
        <v>579</v>
      </c>
      <c r="C70" s="447">
        <v>2800000</v>
      </c>
      <c r="D70" s="445">
        <v>2800000</v>
      </c>
      <c r="E70" s="515"/>
    </row>
    <row r="71" spans="1:5" ht="13.5" thickBot="1" x14ac:dyDescent="0.25">
      <c r="A71" s="423">
        <v>65</v>
      </c>
      <c r="B71" s="419" t="s">
        <v>580</v>
      </c>
      <c r="C71" s="414">
        <f>C72</f>
        <v>0</v>
      </c>
      <c r="D71" s="414">
        <f>D72</f>
        <v>0</v>
      </c>
      <c r="E71" s="514">
        <f>E72</f>
        <v>0</v>
      </c>
    </row>
    <row r="72" spans="1:5" ht="13.5" thickBot="1" x14ac:dyDescent="0.25">
      <c r="A72" s="423">
        <v>66</v>
      </c>
      <c r="B72" s="435"/>
      <c r="C72" s="428"/>
      <c r="D72" s="445"/>
      <c r="E72" s="515"/>
    </row>
    <row r="73" spans="1:5" ht="13.5" thickBot="1" x14ac:dyDescent="0.25">
      <c r="A73" s="567" t="s">
        <v>31</v>
      </c>
      <c r="B73" s="568"/>
      <c r="C73" s="436">
        <f>C71+C68+C33+C7</f>
        <v>975306215</v>
      </c>
      <c r="D73" s="436">
        <f>D71+D68+D33+D7</f>
        <v>978153515</v>
      </c>
      <c r="E73" s="516">
        <f>E71+E68+E33+E7</f>
        <v>507166402.5</v>
      </c>
    </row>
  </sheetData>
  <mergeCells count="3">
    <mergeCell ref="A2:E2"/>
    <mergeCell ref="C4:E4"/>
    <mergeCell ref="A73:B73"/>
  </mergeCells>
  <conditionalFormatting sqref="C73:E73">
    <cfRule type="cellIs" dxfId="1" priority="1" stopIfTrue="1" operator="equal">
      <formula>0</formula>
    </cfRule>
  </conditionalFormatting>
  <conditionalFormatting sqref="D40:E40">
    <cfRule type="cellIs" dxfId="0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98"/>
  <dimension ref="A1:F38"/>
  <sheetViews>
    <sheetView workbookViewId="0">
      <selection activeCell="J12" sqref="J12"/>
    </sheetView>
  </sheetViews>
  <sheetFormatPr defaultRowHeight="12.75" x14ac:dyDescent="0.2"/>
  <cols>
    <col min="1" max="1" width="7.6640625" customWidth="1"/>
    <col min="2" max="2" width="55.83203125" customWidth="1"/>
    <col min="3" max="3" width="17" customWidth="1"/>
    <col min="4" max="4" width="14" customWidth="1"/>
    <col min="5" max="5" width="14.83203125" customWidth="1"/>
    <col min="6" max="6" width="10.5" bestFit="1" customWidth="1"/>
  </cols>
  <sheetData>
    <row r="1" spans="1:5" x14ac:dyDescent="0.2">
      <c r="B1" s="569"/>
      <c r="C1" s="569"/>
    </row>
    <row r="2" spans="1:5" x14ac:dyDescent="0.2">
      <c r="B2" s="569" t="s">
        <v>653</v>
      </c>
      <c r="C2" s="569"/>
      <c r="D2" s="569"/>
      <c r="E2" s="569"/>
    </row>
    <row r="3" spans="1:5" ht="15.75" thickBot="1" x14ac:dyDescent="0.25">
      <c r="A3" s="196"/>
      <c r="B3" s="437"/>
      <c r="C3" s="437"/>
      <c r="E3" s="183" t="s">
        <v>615</v>
      </c>
    </row>
    <row r="4" spans="1:5" ht="45.75" customHeight="1" x14ac:dyDescent="0.2">
      <c r="A4" s="449"/>
      <c r="B4" s="450" t="s">
        <v>586</v>
      </c>
      <c r="C4" s="451" t="s">
        <v>587</v>
      </c>
      <c r="D4" s="452" t="s">
        <v>286</v>
      </c>
      <c r="E4" s="368" t="s">
        <v>645</v>
      </c>
    </row>
    <row r="5" spans="1:5" x14ac:dyDescent="0.2">
      <c r="A5" s="438">
        <v>1</v>
      </c>
      <c r="B5" s="439">
        <v>2</v>
      </c>
      <c r="C5" s="453">
        <v>3</v>
      </c>
      <c r="D5" s="454">
        <v>3</v>
      </c>
      <c r="E5" s="455">
        <v>3</v>
      </c>
    </row>
    <row r="6" spans="1:5" x14ac:dyDescent="0.2">
      <c r="A6" s="456" t="s">
        <v>395</v>
      </c>
      <c r="B6" s="457" t="s">
        <v>588</v>
      </c>
      <c r="C6" s="458">
        <f>C7+C9+C11+C15+C20+C22</f>
        <v>126409054</v>
      </c>
      <c r="D6" s="459">
        <v>159905896</v>
      </c>
      <c r="E6" s="460">
        <f>E7+E9+E11+E15+E20+E22</f>
        <v>112691786</v>
      </c>
    </row>
    <row r="7" spans="1:5" x14ac:dyDescent="0.2">
      <c r="A7" s="456" t="s">
        <v>293</v>
      </c>
      <c r="B7" s="461" t="s">
        <v>589</v>
      </c>
      <c r="C7" s="462">
        <f>C8</f>
        <v>22000000</v>
      </c>
      <c r="D7" s="463">
        <v>22000000</v>
      </c>
      <c r="E7" s="464">
        <f>E8</f>
        <v>11050800</v>
      </c>
    </row>
    <row r="8" spans="1:5" x14ac:dyDescent="0.2">
      <c r="A8" s="456" t="s">
        <v>294</v>
      </c>
      <c r="B8" s="465" t="s">
        <v>590</v>
      </c>
      <c r="C8" s="466">
        <v>22000000</v>
      </c>
      <c r="D8" s="467">
        <v>22000000</v>
      </c>
      <c r="E8" s="468">
        <v>11050800</v>
      </c>
    </row>
    <row r="9" spans="1:5" x14ac:dyDescent="0.2">
      <c r="A9" s="456" t="s">
        <v>295</v>
      </c>
      <c r="B9" s="461" t="s">
        <v>591</v>
      </c>
      <c r="C9" s="462">
        <f>SUM(C10:C10)</f>
        <v>0</v>
      </c>
      <c r="D9" s="463">
        <v>0</v>
      </c>
      <c r="E9" s="464">
        <f>SUM(E10:E10)</f>
        <v>0</v>
      </c>
    </row>
    <row r="10" spans="1:5" x14ac:dyDescent="0.2">
      <c r="A10" s="456" t="s">
        <v>296</v>
      </c>
      <c r="B10" s="440"/>
      <c r="C10" s="469"/>
      <c r="D10" s="470"/>
      <c r="E10" s="471"/>
    </row>
    <row r="11" spans="1:5" x14ac:dyDescent="0.2">
      <c r="A11" s="456" t="s">
        <v>297</v>
      </c>
      <c r="B11" s="461" t="s">
        <v>592</v>
      </c>
      <c r="C11" s="462">
        <f>C12</f>
        <v>1800000</v>
      </c>
      <c r="D11" s="463">
        <v>11105700</v>
      </c>
      <c r="E11" s="464">
        <f>E12+E13</f>
        <v>4264661</v>
      </c>
    </row>
    <row r="12" spans="1:5" x14ac:dyDescent="0.2">
      <c r="A12" s="456" t="s">
        <v>298</v>
      </c>
      <c r="B12" s="441" t="s">
        <v>593</v>
      </c>
      <c r="C12" s="466">
        <v>1800000</v>
      </c>
      <c r="D12" s="467">
        <v>7103700</v>
      </c>
      <c r="E12" s="468">
        <v>4264661</v>
      </c>
    </row>
    <row r="13" spans="1:5" x14ac:dyDescent="0.2">
      <c r="A13" s="456" t="s">
        <v>314</v>
      </c>
      <c r="B13" s="441" t="s">
        <v>594</v>
      </c>
      <c r="C13" s="466"/>
      <c r="D13" s="467">
        <v>4002000</v>
      </c>
      <c r="E13" s="468">
        <v>0</v>
      </c>
    </row>
    <row r="14" spans="1:5" x14ac:dyDescent="0.2">
      <c r="A14" s="456" t="s">
        <v>292</v>
      </c>
      <c r="B14" s="441"/>
      <c r="C14" s="466"/>
      <c r="D14" s="467"/>
      <c r="E14" s="468"/>
    </row>
    <row r="15" spans="1:5" x14ac:dyDescent="0.2">
      <c r="A15" s="456" t="s">
        <v>234</v>
      </c>
      <c r="B15" s="461" t="s">
        <v>595</v>
      </c>
      <c r="C15" s="462">
        <f>C16</f>
        <v>80075000</v>
      </c>
      <c r="D15" s="464">
        <v>97753544</v>
      </c>
      <c r="E15" s="464">
        <f>SUM(E16:E19)</f>
        <v>80075000</v>
      </c>
    </row>
    <row r="16" spans="1:5" x14ac:dyDescent="0.2">
      <c r="A16" s="456" t="s">
        <v>235</v>
      </c>
      <c r="B16" s="465" t="s">
        <v>596</v>
      </c>
      <c r="C16" s="469">
        <v>80075000</v>
      </c>
      <c r="D16" s="470">
        <v>80075000</v>
      </c>
      <c r="E16" s="471">
        <v>80075000</v>
      </c>
    </row>
    <row r="17" spans="1:6" x14ac:dyDescent="0.2">
      <c r="A17" s="456" t="s">
        <v>236</v>
      </c>
      <c r="B17" s="465" t="s">
        <v>597</v>
      </c>
      <c r="C17" s="469"/>
      <c r="D17" s="470">
        <v>16029559</v>
      </c>
      <c r="E17" s="471"/>
    </row>
    <row r="18" spans="1:6" x14ac:dyDescent="0.2">
      <c r="A18" s="456" t="s">
        <v>299</v>
      </c>
      <c r="B18" s="465" t="s">
        <v>598</v>
      </c>
      <c r="C18" s="469"/>
      <c r="D18" s="470">
        <v>199132</v>
      </c>
      <c r="E18" s="471"/>
    </row>
    <row r="19" spans="1:6" x14ac:dyDescent="0.2">
      <c r="A19" s="456" t="s">
        <v>300</v>
      </c>
      <c r="B19" s="465" t="s">
        <v>599</v>
      </c>
      <c r="C19" s="469"/>
      <c r="D19" s="470">
        <v>1449853</v>
      </c>
      <c r="E19" s="471"/>
    </row>
    <row r="20" spans="1:6" x14ac:dyDescent="0.2">
      <c r="A20" s="456" t="s">
        <v>315</v>
      </c>
      <c r="B20" s="472" t="s">
        <v>600</v>
      </c>
      <c r="C20" s="473">
        <f>SUM(C21)</f>
        <v>0</v>
      </c>
      <c r="D20" s="474">
        <v>6512598</v>
      </c>
      <c r="E20" s="475">
        <f>SUM(E21)</f>
        <v>6512598</v>
      </c>
    </row>
    <row r="21" spans="1:6" x14ac:dyDescent="0.2">
      <c r="A21" s="456" t="s">
        <v>301</v>
      </c>
      <c r="B21" s="465" t="s">
        <v>601</v>
      </c>
      <c r="C21" s="469"/>
      <c r="D21" s="470">
        <v>6512598</v>
      </c>
      <c r="E21" s="471">
        <v>6512598</v>
      </c>
    </row>
    <row r="22" spans="1:6" x14ac:dyDescent="0.2">
      <c r="A22" s="456" t="s">
        <v>302</v>
      </c>
      <c r="B22" s="472" t="s">
        <v>602</v>
      </c>
      <c r="C22" s="473">
        <f>SUM(C23:C27)</f>
        <v>22534054</v>
      </c>
      <c r="D22" s="474">
        <v>22534054</v>
      </c>
      <c r="E22" s="475">
        <f>SUM(E23:E27)</f>
        <v>10788727</v>
      </c>
    </row>
    <row r="23" spans="1:6" x14ac:dyDescent="0.2">
      <c r="A23" s="456" t="s">
        <v>303</v>
      </c>
      <c r="B23" s="441" t="s">
        <v>603</v>
      </c>
      <c r="C23" s="476">
        <v>7280991</v>
      </c>
      <c r="D23" s="477">
        <v>7280991</v>
      </c>
      <c r="E23" s="478">
        <v>3245420</v>
      </c>
    </row>
    <row r="24" spans="1:6" x14ac:dyDescent="0.2">
      <c r="A24" s="456" t="s">
        <v>304</v>
      </c>
      <c r="B24" s="441" t="s">
        <v>604</v>
      </c>
      <c r="C24" s="476">
        <v>6753063</v>
      </c>
      <c r="D24" s="477">
        <v>6753063</v>
      </c>
      <c r="E24" s="478">
        <v>3293307</v>
      </c>
      <c r="F24" s="517"/>
    </row>
    <row r="25" spans="1:6" x14ac:dyDescent="0.2">
      <c r="A25" s="456" t="s">
        <v>305</v>
      </c>
      <c r="B25" s="441" t="s">
        <v>605</v>
      </c>
      <c r="C25" s="476">
        <v>3000000</v>
      </c>
      <c r="D25" s="477">
        <v>3000000</v>
      </c>
      <c r="E25" s="478">
        <v>1500000</v>
      </c>
    </row>
    <row r="26" spans="1:6" x14ac:dyDescent="0.2">
      <c r="A26" s="456" t="s">
        <v>306</v>
      </c>
      <c r="B26" s="441" t="s">
        <v>606</v>
      </c>
      <c r="C26" s="476">
        <v>3000000</v>
      </c>
      <c r="D26" s="477">
        <v>3000000</v>
      </c>
      <c r="E26" s="478">
        <v>1500000</v>
      </c>
    </row>
    <row r="27" spans="1:6" x14ac:dyDescent="0.2">
      <c r="A27" s="456" t="s">
        <v>316</v>
      </c>
      <c r="B27" s="441" t="s">
        <v>607</v>
      </c>
      <c r="C27" s="476">
        <v>2500000</v>
      </c>
      <c r="D27" s="477">
        <v>2500000</v>
      </c>
      <c r="E27" s="478">
        <v>1250000</v>
      </c>
    </row>
    <row r="28" spans="1:6" x14ac:dyDescent="0.2">
      <c r="A28" s="456" t="s">
        <v>307</v>
      </c>
      <c r="B28" s="479" t="s">
        <v>608</v>
      </c>
      <c r="C28" s="480">
        <f>C30+C31+C29</f>
        <v>18831116</v>
      </c>
      <c r="D28" s="481">
        <v>18831116</v>
      </c>
      <c r="E28" s="482">
        <f>E30+E31+E29</f>
        <v>6225000</v>
      </c>
    </row>
    <row r="29" spans="1:6" x14ac:dyDescent="0.2">
      <c r="A29" s="456" t="s">
        <v>308</v>
      </c>
      <c r="B29" s="483" t="s">
        <v>609</v>
      </c>
      <c r="C29" s="469">
        <v>6225000</v>
      </c>
      <c r="D29" s="470">
        <v>6225000</v>
      </c>
      <c r="E29" s="471">
        <v>6225000</v>
      </c>
    </row>
    <row r="30" spans="1:6" x14ac:dyDescent="0.2">
      <c r="A30" s="456" t="s">
        <v>309</v>
      </c>
      <c r="B30" s="440" t="s">
        <v>610</v>
      </c>
      <c r="C30" s="469">
        <v>9806116</v>
      </c>
      <c r="D30" s="470">
        <v>9806116</v>
      </c>
      <c r="E30" s="471"/>
    </row>
    <row r="31" spans="1:6" x14ac:dyDescent="0.2">
      <c r="A31" s="456" t="s">
        <v>310</v>
      </c>
      <c r="B31" s="440" t="s">
        <v>611</v>
      </c>
      <c r="C31" s="469">
        <v>2800000</v>
      </c>
      <c r="D31" s="470">
        <v>2800000</v>
      </c>
      <c r="E31" s="471"/>
    </row>
    <row r="32" spans="1:6" x14ac:dyDescent="0.2">
      <c r="A32" s="456" t="s">
        <v>311</v>
      </c>
      <c r="B32" s="440"/>
      <c r="C32" s="469"/>
      <c r="D32" s="470"/>
      <c r="E32" s="471"/>
    </row>
    <row r="33" spans="1:5" x14ac:dyDescent="0.2">
      <c r="A33" s="456" t="s">
        <v>312</v>
      </c>
      <c r="B33" s="484" t="s">
        <v>612</v>
      </c>
      <c r="C33" s="458">
        <f>SUM(C34:C34)</f>
        <v>0</v>
      </c>
      <c r="D33" s="459">
        <f>SUM(D34:D34)</f>
        <v>0</v>
      </c>
      <c r="E33" s="460">
        <f>SUM(E34:E35)</f>
        <v>172480</v>
      </c>
    </row>
    <row r="34" spans="1:5" x14ac:dyDescent="0.2">
      <c r="A34" s="456" t="s">
        <v>313</v>
      </c>
      <c r="B34" s="441" t="s">
        <v>649</v>
      </c>
      <c r="C34" s="466"/>
      <c r="D34" s="467"/>
      <c r="E34" s="468">
        <v>10000</v>
      </c>
    </row>
    <row r="35" spans="1:5" x14ac:dyDescent="0.2">
      <c r="A35" s="456" t="s">
        <v>317</v>
      </c>
      <c r="B35" s="441" t="s">
        <v>648</v>
      </c>
      <c r="C35" s="466"/>
      <c r="D35" s="467"/>
      <c r="E35" s="468">
        <v>162480</v>
      </c>
    </row>
    <row r="36" spans="1:5" x14ac:dyDescent="0.2">
      <c r="A36" s="456" t="s">
        <v>370</v>
      </c>
      <c r="B36" s="484" t="s">
        <v>613</v>
      </c>
      <c r="C36" s="458">
        <f>SUM(C37:C37)</f>
        <v>0</v>
      </c>
      <c r="D36" s="459">
        <f>SUM(D37:D37)</f>
        <v>0</v>
      </c>
      <c r="E36" s="460">
        <f>SUM(E37:E37)</f>
        <v>0</v>
      </c>
    </row>
    <row r="37" spans="1:5" ht="13.5" thickBot="1" x14ac:dyDescent="0.25">
      <c r="A37" s="11"/>
      <c r="B37" s="442"/>
      <c r="C37" s="485"/>
      <c r="D37" s="486"/>
      <c r="E37" s="487"/>
    </row>
    <row r="38" spans="1:5" ht="13.5" thickBot="1" x14ac:dyDescent="0.25">
      <c r="A38" s="443"/>
      <c r="B38" s="444" t="s">
        <v>614</v>
      </c>
      <c r="C38" s="488">
        <f>C6+C28+C33+C36</f>
        <v>145240170</v>
      </c>
      <c r="D38" s="489">
        <f>D6+D28+D33+D36</f>
        <v>178737012</v>
      </c>
      <c r="E38" s="490">
        <f>E6+E28+E33+E36</f>
        <v>119089266</v>
      </c>
    </row>
  </sheetData>
  <mergeCells count="2">
    <mergeCell ref="B1:C1"/>
    <mergeCell ref="B2:E2"/>
  </mergeCells>
  <phoneticPr fontId="23" type="noConversion"/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99"/>
  <dimension ref="A1:D27"/>
  <sheetViews>
    <sheetView tabSelected="1" workbookViewId="0">
      <selection activeCell="Q30" sqref="Q30"/>
    </sheetView>
  </sheetViews>
  <sheetFormatPr defaultRowHeight="12.75" x14ac:dyDescent="0.2"/>
  <cols>
    <col min="1" max="1" width="3.6640625" bestFit="1" customWidth="1"/>
    <col min="2" max="2" width="69.83203125" customWidth="1"/>
    <col min="3" max="4" width="16.83203125" customWidth="1"/>
  </cols>
  <sheetData>
    <row r="1" spans="1:4" x14ac:dyDescent="0.2">
      <c r="B1" s="570" t="s">
        <v>654</v>
      </c>
      <c r="C1" s="570"/>
      <c r="D1" s="570"/>
    </row>
    <row r="3" spans="1:4" x14ac:dyDescent="0.2">
      <c r="A3" s="491"/>
      <c r="B3" s="496"/>
      <c r="C3" s="497" t="s">
        <v>615</v>
      </c>
      <c r="D3" s="497" t="s">
        <v>615</v>
      </c>
    </row>
    <row r="4" spans="1:4" ht="25.5" x14ac:dyDescent="0.2">
      <c r="A4" s="492"/>
      <c r="B4" s="498" t="s">
        <v>37</v>
      </c>
      <c r="C4" s="499" t="s">
        <v>616</v>
      </c>
      <c r="D4" s="499" t="s">
        <v>641</v>
      </c>
    </row>
    <row r="5" spans="1:4" x14ac:dyDescent="0.2">
      <c r="A5" s="493" t="s">
        <v>6</v>
      </c>
      <c r="B5" s="500" t="s">
        <v>617</v>
      </c>
      <c r="C5" s="494">
        <v>5000000</v>
      </c>
      <c r="D5" s="494">
        <v>1728396</v>
      </c>
    </row>
    <row r="6" spans="1:4" x14ac:dyDescent="0.2">
      <c r="A6" s="493" t="s">
        <v>7</v>
      </c>
      <c r="B6" s="500" t="s">
        <v>618</v>
      </c>
      <c r="C6" s="494">
        <v>2500000</v>
      </c>
      <c r="D6" s="494">
        <v>1605695</v>
      </c>
    </row>
    <row r="7" spans="1:4" x14ac:dyDescent="0.2">
      <c r="A7" s="493" t="s">
        <v>8</v>
      </c>
      <c r="B7" s="500" t="s">
        <v>619</v>
      </c>
      <c r="C7" s="494">
        <v>3000000</v>
      </c>
      <c r="D7" s="494">
        <v>1871000</v>
      </c>
    </row>
    <row r="8" spans="1:4" x14ac:dyDescent="0.2">
      <c r="A8" s="493" t="s">
        <v>9</v>
      </c>
      <c r="B8" s="500" t="s">
        <v>620</v>
      </c>
      <c r="C8" s="494">
        <v>800000</v>
      </c>
      <c r="D8" s="494"/>
    </row>
    <row r="9" spans="1:4" x14ac:dyDescent="0.2">
      <c r="A9" s="493" t="s">
        <v>10</v>
      </c>
      <c r="B9" s="500" t="s">
        <v>621</v>
      </c>
      <c r="C9" s="494">
        <v>100000</v>
      </c>
      <c r="D9" s="494">
        <v>16627</v>
      </c>
    </row>
    <row r="10" spans="1:4" x14ac:dyDescent="0.2">
      <c r="A10" s="493" t="s">
        <v>11</v>
      </c>
      <c r="B10" s="500" t="s">
        <v>622</v>
      </c>
      <c r="C10" s="494">
        <v>300000</v>
      </c>
      <c r="D10" s="494">
        <v>244161</v>
      </c>
    </row>
    <row r="11" spans="1:4" x14ac:dyDescent="0.2">
      <c r="A11" s="493" t="s">
        <v>12</v>
      </c>
      <c r="B11" s="501" t="s">
        <v>623</v>
      </c>
      <c r="C11" s="495">
        <v>11700000</v>
      </c>
      <c r="D11" s="495">
        <f>SUM(D5:D10)</f>
        <v>5465879</v>
      </c>
    </row>
    <row r="12" spans="1:4" x14ac:dyDescent="0.2">
      <c r="A12" s="493" t="s">
        <v>13</v>
      </c>
      <c r="B12" s="500" t="s">
        <v>624</v>
      </c>
      <c r="C12" s="494">
        <v>1000000</v>
      </c>
      <c r="D12" s="494">
        <v>320000</v>
      </c>
    </row>
    <row r="13" spans="1:4" x14ac:dyDescent="0.2">
      <c r="A13" s="493" t="s">
        <v>14</v>
      </c>
      <c r="B13" s="500" t="s">
        <v>625</v>
      </c>
      <c r="C13" s="494">
        <v>300000</v>
      </c>
      <c r="D13" s="494"/>
    </row>
    <row r="14" spans="1:4" x14ac:dyDescent="0.2">
      <c r="A14" s="493" t="s">
        <v>15</v>
      </c>
      <c r="B14" s="500" t="s">
        <v>626</v>
      </c>
      <c r="C14" s="494">
        <v>200000</v>
      </c>
      <c r="D14" s="494">
        <v>84800</v>
      </c>
    </row>
    <row r="15" spans="1:4" x14ac:dyDescent="0.2">
      <c r="A15" s="493" t="s">
        <v>16</v>
      </c>
      <c r="B15" s="500" t="s">
        <v>627</v>
      </c>
      <c r="C15" s="494">
        <v>100000</v>
      </c>
      <c r="D15" s="494"/>
    </row>
    <row r="16" spans="1:4" x14ac:dyDescent="0.2">
      <c r="A16" s="493" t="s">
        <v>17</v>
      </c>
      <c r="B16" s="500" t="s">
        <v>628</v>
      </c>
      <c r="C16" s="494">
        <v>700000</v>
      </c>
      <c r="D16" s="494">
        <v>53109</v>
      </c>
    </row>
    <row r="17" spans="1:4" ht="22.5" x14ac:dyDescent="0.2">
      <c r="A17" s="493" t="s">
        <v>18</v>
      </c>
      <c r="B17" s="500" t="s">
        <v>629</v>
      </c>
      <c r="C17" s="494">
        <v>1710000</v>
      </c>
      <c r="D17" s="494">
        <v>997500</v>
      </c>
    </row>
    <row r="18" spans="1:4" x14ac:dyDescent="0.2">
      <c r="A18" s="493" t="s">
        <v>19</v>
      </c>
      <c r="B18" s="501" t="s">
        <v>630</v>
      </c>
      <c r="C18" s="495">
        <v>4010000</v>
      </c>
      <c r="D18" s="495">
        <f>SUM(D12:D17)</f>
        <v>1455409</v>
      </c>
    </row>
    <row r="19" spans="1:4" x14ac:dyDescent="0.2">
      <c r="A19" s="493" t="s">
        <v>20</v>
      </c>
      <c r="B19" s="502" t="s">
        <v>631</v>
      </c>
      <c r="C19" s="495">
        <v>15710000</v>
      </c>
      <c r="D19" s="495">
        <f>D11+D18</f>
        <v>6921288</v>
      </c>
    </row>
    <row r="20" spans="1:4" x14ac:dyDescent="0.2">
      <c r="A20" s="493" t="s">
        <v>21</v>
      </c>
      <c r="B20" s="503" t="s">
        <v>632</v>
      </c>
      <c r="C20" s="494">
        <v>4500000</v>
      </c>
      <c r="D20" s="494"/>
    </row>
    <row r="21" spans="1:4" x14ac:dyDescent="0.2">
      <c r="A21" s="493" t="s">
        <v>22</v>
      </c>
      <c r="B21" s="500" t="s">
        <v>633</v>
      </c>
      <c r="C21" s="494">
        <v>2000000</v>
      </c>
      <c r="D21" s="494">
        <v>1157060</v>
      </c>
    </row>
    <row r="22" spans="1:4" x14ac:dyDescent="0.2">
      <c r="A22" s="493" t="s">
        <v>23</v>
      </c>
      <c r="B22" s="500" t="s">
        <v>634</v>
      </c>
      <c r="C22" s="494">
        <v>1000000</v>
      </c>
      <c r="D22" s="494">
        <v>836275</v>
      </c>
    </row>
    <row r="23" spans="1:4" x14ac:dyDescent="0.2">
      <c r="A23" s="493" t="s">
        <v>24</v>
      </c>
      <c r="B23" s="500" t="s">
        <v>635</v>
      </c>
      <c r="C23" s="494">
        <v>3000000</v>
      </c>
      <c r="D23" s="494">
        <v>535200</v>
      </c>
    </row>
    <row r="24" spans="1:4" x14ac:dyDescent="0.2">
      <c r="A24" s="493" t="s">
        <v>25</v>
      </c>
      <c r="B24" s="500" t="s">
        <v>636</v>
      </c>
      <c r="C24" s="494">
        <v>900000</v>
      </c>
      <c r="D24" s="494"/>
    </row>
    <row r="25" spans="1:4" x14ac:dyDescent="0.2">
      <c r="A25" s="493" t="s">
        <v>26</v>
      </c>
      <c r="B25" s="504" t="s">
        <v>637</v>
      </c>
      <c r="C25" s="494">
        <v>400000</v>
      </c>
      <c r="D25" s="494"/>
    </row>
    <row r="26" spans="1:4" x14ac:dyDescent="0.2">
      <c r="A26" s="493" t="s">
        <v>27</v>
      </c>
      <c r="B26" s="502" t="s">
        <v>638</v>
      </c>
      <c r="C26" s="495">
        <v>11800000</v>
      </c>
      <c r="D26" s="495">
        <v>11800000</v>
      </c>
    </row>
    <row r="27" spans="1:4" x14ac:dyDescent="0.2">
      <c r="A27" s="493" t="s">
        <v>28</v>
      </c>
      <c r="B27" s="502" t="s">
        <v>639</v>
      </c>
      <c r="C27" s="495">
        <v>27510000</v>
      </c>
      <c r="D27" s="495">
        <v>27510000</v>
      </c>
    </row>
  </sheetData>
  <mergeCells count="1">
    <mergeCell ref="B1:D1"/>
  </mergeCells>
  <phoneticPr fontId="2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2">
    <pageSetUpPr fitToPage="1"/>
  </sheetPr>
  <dimension ref="A2:H32"/>
  <sheetViews>
    <sheetView zoomScale="120" zoomScaleNormal="120" workbookViewId="0">
      <selection activeCell="I14" sqref="I14"/>
    </sheetView>
  </sheetViews>
  <sheetFormatPr defaultRowHeight="12.75" x14ac:dyDescent="0.2"/>
  <cols>
    <col min="1" max="1" width="43.33203125" customWidth="1"/>
    <col min="2" max="2" width="49.1640625" customWidth="1"/>
    <col min="3" max="3" width="18.6640625" customWidth="1"/>
    <col min="4" max="4" width="4.83203125" bestFit="1" customWidth="1"/>
    <col min="5" max="5" width="1.5" bestFit="1" customWidth="1"/>
    <col min="7" max="7" width="1.5" bestFit="1" customWidth="1"/>
  </cols>
  <sheetData>
    <row r="2" spans="1:8" x14ac:dyDescent="0.2">
      <c r="A2" s="521" t="s">
        <v>214</v>
      </c>
      <c r="B2" s="521"/>
      <c r="C2" s="521"/>
      <c r="D2" s="521"/>
      <c r="E2" s="521"/>
      <c r="F2" s="521"/>
      <c r="G2" s="521"/>
    </row>
    <row r="3" spans="1:8" ht="15.75" x14ac:dyDescent="0.25">
      <c r="A3" s="522" t="s">
        <v>642</v>
      </c>
      <c r="B3" s="522"/>
      <c r="C3" s="522"/>
      <c r="D3" s="522"/>
      <c r="E3" s="522"/>
      <c r="F3" s="522"/>
      <c r="G3" s="522"/>
    </row>
    <row r="6" spans="1:8" ht="15" x14ac:dyDescent="0.25">
      <c r="A6" s="175"/>
    </row>
    <row r="7" spans="1:8" x14ac:dyDescent="0.2">
      <c r="A7" s="183" t="s">
        <v>257</v>
      </c>
      <c r="B7" s="182" t="str">
        <f>CONCATENATE(IB_TARTALOMJEGYZÉK!A1,".")</f>
        <v>2024.</v>
      </c>
      <c r="C7" s="306" t="s">
        <v>501</v>
      </c>
      <c r="D7" t="s">
        <v>281</v>
      </c>
      <c r="F7" s="182"/>
    </row>
    <row r="8" spans="1:8" x14ac:dyDescent="0.2">
      <c r="C8" s="244" t="str">
        <f>IF(C7="I. negyedévi","I. negyedéves",IF(C7="I. félévi","I. féléves","III. negyedéves"))</f>
        <v>I. féléves</v>
      </c>
    </row>
    <row r="9" spans="1:8" x14ac:dyDescent="0.2">
      <c r="C9" s="203" t="str">
        <f>IF(C7="I. negyedévi"," III. 31.",IF(C7="I. félévi"," VI. 30."," IX. 30."))</f>
        <v xml:space="preserve"> VI. 30.</v>
      </c>
    </row>
    <row r="10" spans="1:8" x14ac:dyDescent="0.2">
      <c r="H10" t="s">
        <v>499</v>
      </c>
    </row>
    <row r="11" spans="1:8" ht="15.75" x14ac:dyDescent="0.25">
      <c r="A11" s="523" t="s">
        <v>643</v>
      </c>
      <c r="B11" s="524"/>
      <c r="C11" s="524"/>
      <c r="D11" s="524"/>
      <c r="E11" s="524"/>
      <c r="F11" s="524"/>
      <c r="G11" s="524"/>
      <c r="H11" s="379" t="s">
        <v>498</v>
      </c>
    </row>
    <row r="13" spans="1:8" ht="14.25" x14ac:dyDescent="0.2">
      <c r="A13" s="181" t="s">
        <v>216</v>
      </c>
      <c r="B13" s="520" t="s">
        <v>644</v>
      </c>
      <c r="C13" s="520"/>
      <c r="D13" s="520"/>
      <c r="E13" s="520"/>
      <c r="F13" s="520"/>
      <c r="G13" s="520"/>
    </row>
    <row r="14" spans="1:8" ht="14.25" x14ac:dyDescent="0.2">
      <c r="B14" s="204"/>
    </row>
    <row r="15" spans="1:8" ht="14.25" x14ac:dyDescent="0.2">
      <c r="A15" s="181" t="s">
        <v>217</v>
      </c>
      <c r="B15" s="520" t="s">
        <v>225</v>
      </c>
      <c r="C15" s="520"/>
      <c r="D15" s="520"/>
      <c r="E15" s="520"/>
      <c r="F15" s="520"/>
      <c r="G15" s="520"/>
    </row>
    <row r="16" spans="1:8" ht="14.25" x14ac:dyDescent="0.2">
      <c r="B16" s="204"/>
    </row>
    <row r="17" spans="1:7" ht="14.25" x14ac:dyDescent="0.2">
      <c r="A17" s="181" t="s">
        <v>218</v>
      </c>
      <c r="B17" s="520" t="s">
        <v>226</v>
      </c>
      <c r="C17" s="520"/>
      <c r="D17" s="520"/>
      <c r="E17" s="520"/>
      <c r="F17" s="520"/>
      <c r="G17" s="520"/>
    </row>
    <row r="18" spans="1:7" ht="14.25" x14ac:dyDescent="0.2">
      <c r="B18" s="204"/>
    </row>
    <row r="19" spans="1:7" ht="14.25" x14ac:dyDescent="0.2">
      <c r="A19" s="181" t="s">
        <v>219</v>
      </c>
      <c r="B19" s="520" t="s">
        <v>227</v>
      </c>
      <c r="C19" s="520"/>
      <c r="D19" s="520"/>
      <c r="E19" s="520"/>
      <c r="F19" s="520"/>
      <c r="G19" s="520"/>
    </row>
    <row r="20" spans="1:7" ht="14.25" x14ac:dyDescent="0.2">
      <c r="B20" s="204"/>
    </row>
    <row r="21" spans="1:7" ht="14.25" x14ac:dyDescent="0.2">
      <c r="A21" s="181" t="s">
        <v>220</v>
      </c>
      <c r="B21" s="520" t="s">
        <v>228</v>
      </c>
      <c r="C21" s="520"/>
      <c r="D21" s="520"/>
      <c r="E21" s="520"/>
      <c r="F21" s="520"/>
      <c r="G21" s="520"/>
    </row>
    <row r="22" spans="1:7" ht="14.25" x14ac:dyDescent="0.2">
      <c r="B22" s="204"/>
    </row>
    <row r="23" spans="1:7" ht="14.25" x14ac:dyDescent="0.2">
      <c r="A23" s="181" t="s">
        <v>221</v>
      </c>
      <c r="B23" s="520" t="s">
        <v>229</v>
      </c>
      <c r="C23" s="520"/>
      <c r="D23" s="520"/>
      <c r="E23" s="520"/>
      <c r="F23" s="520"/>
      <c r="G23" s="520"/>
    </row>
    <row r="24" spans="1:7" ht="14.25" x14ac:dyDescent="0.2">
      <c r="B24" s="204"/>
    </row>
    <row r="25" spans="1:7" ht="14.25" x14ac:dyDescent="0.2">
      <c r="A25" s="181" t="s">
        <v>222</v>
      </c>
      <c r="B25" s="520" t="s">
        <v>230</v>
      </c>
      <c r="C25" s="520"/>
      <c r="D25" s="520"/>
      <c r="E25" s="520"/>
      <c r="F25" s="520"/>
      <c r="G25" s="520"/>
    </row>
    <row r="26" spans="1:7" ht="14.25" x14ac:dyDescent="0.2">
      <c r="B26" s="204"/>
    </row>
    <row r="27" spans="1:7" ht="14.25" x14ac:dyDescent="0.2">
      <c r="A27" s="181" t="s">
        <v>223</v>
      </c>
      <c r="B27" s="520" t="s">
        <v>231</v>
      </c>
      <c r="C27" s="520"/>
      <c r="D27" s="520"/>
      <c r="E27" s="520"/>
      <c r="F27" s="520"/>
      <c r="G27" s="520"/>
    </row>
    <row r="28" spans="1:7" ht="14.25" x14ac:dyDescent="0.2">
      <c r="B28" s="204"/>
    </row>
    <row r="29" spans="1:7" ht="14.25" x14ac:dyDescent="0.2">
      <c r="A29" s="181" t="s">
        <v>223</v>
      </c>
      <c r="B29" s="520" t="s">
        <v>232</v>
      </c>
      <c r="C29" s="520"/>
      <c r="D29" s="520"/>
      <c r="E29" s="520"/>
      <c r="F29" s="520"/>
      <c r="G29" s="520"/>
    </row>
    <row r="30" spans="1:7" ht="14.25" x14ac:dyDescent="0.2">
      <c r="B30" s="204"/>
    </row>
    <row r="31" spans="1:7" ht="14.25" x14ac:dyDescent="0.2">
      <c r="A31" s="181" t="s">
        <v>224</v>
      </c>
      <c r="B31" s="520" t="s">
        <v>233</v>
      </c>
      <c r="C31" s="520"/>
      <c r="D31" s="520"/>
      <c r="E31" s="520"/>
      <c r="F31" s="520"/>
      <c r="G31" s="520"/>
    </row>
    <row r="32" spans="1:7" ht="14.25" x14ac:dyDescent="0.2">
      <c r="B32" s="204"/>
    </row>
  </sheetData>
  <mergeCells count="13">
    <mergeCell ref="B31:G31"/>
    <mergeCell ref="B19:G19"/>
    <mergeCell ref="B21:G21"/>
    <mergeCell ref="B23:G23"/>
    <mergeCell ref="B25:G25"/>
    <mergeCell ref="B27:G27"/>
    <mergeCell ref="B29:G29"/>
    <mergeCell ref="B17:G17"/>
    <mergeCell ref="A2:G2"/>
    <mergeCell ref="A3:G3"/>
    <mergeCell ref="A11:G11"/>
    <mergeCell ref="B13:G13"/>
    <mergeCell ref="B15:G15"/>
  </mergeCells>
  <conditionalFormatting sqref="A11:G11">
    <cfRule type="expression" dxfId="11" priority="1" stopIfTrue="1">
      <formula>$H$11="Nem"</formula>
    </cfRule>
  </conditionalFormatting>
  <dataValidations count="2">
    <dataValidation type="list" allowBlank="1" showInputMessage="1" showErrorMessage="1" sqref="C7">
      <formula1>"I. félévi, III. negyedévi"</formula1>
    </dataValidation>
    <dataValidation type="list" allowBlank="1" showInputMessage="1" showErrorMessage="1" sqref="H11">
      <formula1>"Igen,Nem"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3">
    <tabColor theme="8"/>
  </sheetPr>
  <dimension ref="A1:B41"/>
  <sheetViews>
    <sheetView topLeftCell="A4" zoomScale="120" zoomScaleNormal="120" workbookViewId="0">
      <selection activeCell="C27" sqref="C27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1" spans="1:2" ht="18.75" x14ac:dyDescent="0.3">
      <c r="A1" s="205" t="s">
        <v>47</v>
      </c>
    </row>
    <row r="3" spans="1:2" x14ac:dyDescent="0.2">
      <c r="A3" s="41"/>
      <c r="B3" s="41"/>
    </row>
    <row r="4" spans="1:2" ht="15.75" x14ac:dyDescent="0.25">
      <c r="A4" s="206"/>
      <c r="B4" s="207"/>
    </row>
    <row r="5" spans="1:2" ht="15.75" x14ac:dyDescent="0.25">
      <c r="A5" s="206"/>
      <c r="B5" s="207"/>
    </row>
    <row r="6" spans="1:2" s="48" customFormat="1" ht="15.75" x14ac:dyDescent="0.25">
      <c r="A6" s="206" t="str">
        <f>CONCATENATE(IB_ALAPADATOK!B7," évi eredeti előirányzat BEVÉTELEK")</f>
        <v>2024. évi eredeti előirányzat BEVÉTELEK</v>
      </c>
      <c r="B6" s="41"/>
    </row>
    <row r="7" spans="1:2" s="48" customFormat="1" x14ac:dyDescent="0.2">
      <c r="A7" s="41"/>
      <c r="B7" s="41"/>
    </row>
    <row r="8" spans="1:2" s="48" customFormat="1" x14ac:dyDescent="0.2">
      <c r="A8" s="41"/>
      <c r="B8" s="41"/>
    </row>
    <row r="9" spans="1:2" x14ac:dyDescent="0.2">
      <c r="A9" s="41" t="s">
        <v>462</v>
      </c>
      <c r="B9" s="41" t="s">
        <v>488</v>
      </c>
    </row>
    <row r="10" spans="1:2" x14ac:dyDescent="0.2">
      <c r="A10" s="41" t="s">
        <v>460</v>
      </c>
      <c r="B10" s="41" t="s">
        <v>489</v>
      </c>
    </row>
    <row r="11" spans="1:2" x14ac:dyDescent="0.2">
      <c r="A11" s="41" t="s">
        <v>461</v>
      </c>
      <c r="B11" s="41" t="s">
        <v>490</v>
      </c>
    </row>
    <row r="12" spans="1:2" x14ac:dyDescent="0.2">
      <c r="A12" s="41"/>
      <c r="B12" s="41"/>
    </row>
    <row r="13" spans="1:2" ht="15.75" x14ac:dyDescent="0.25">
      <c r="A13" s="206" t="str">
        <f>+CONCATENATE(LEFT(A6,4),". évi módosított előirányzat BEVÉTELEK")</f>
        <v>2024. évi módosított előirányzat BEVÉTELEK</v>
      </c>
      <c r="B13" s="207"/>
    </row>
    <row r="14" spans="1:2" x14ac:dyDescent="0.2">
      <c r="A14" s="41"/>
      <c r="B14" s="41"/>
    </row>
    <row r="15" spans="1:2" s="48" customFormat="1" x14ac:dyDescent="0.2">
      <c r="A15" s="41" t="s">
        <v>463</v>
      </c>
      <c r="B15" s="41" t="s">
        <v>487</v>
      </c>
    </row>
    <row r="16" spans="1:2" x14ac:dyDescent="0.2">
      <c r="A16" s="41" t="s">
        <v>464</v>
      </c>
      <c r="B16" s="41" t="s">
        <v>491</v>
      </c>
    </row>
    <row r="17" spans="1:2" x14ac:dyDescent="0.2">
      <c r="A17" s="41" t="s">
        <v>465</v>
      </c>
      <c r="B17" s="41" t="s">
        <v>492</v>
      </c>
    </row>
    <row r="18" spans="1:2" x14ac:dyDescent="0.2">
      <c r="A18" s="41"/>
      <c r="B18" s="41"/>
    </row>
    <row r="19" spans="1:2" ht="14.25" x14ac:dyDescent="0.2">
      <c r="A19" s="181" t="str">
        <f>+CONCATENATE(LEFT(A6,4),". I-III. negyedévi teljesítés BEVÉTELEK")</f>
        <v>2024. I-III. negyedévi teljesítés BEVÉTELEK</v>
      </c>
      <c r="B19" s="207"/>
    </row>
    <row r="20" spans="1:2" x14ac:dyDescent="0.2">
      <c r="A20" s="41"/>
      <c r="B20" s="41"/>
    </row>
    <row r="21" spans="1:2" x14ac:dyDescent="0.2">
      <c r="A21" s="41" t="s">
        <v>466</v>
      </c>
      <c r="B21" s="41" t="s">
        <v>493</v>
      </c>
    </row>
    <row r="22" spans="1:2" x14ac:dyDescent="0.2">
      <c r="A22" s="41" t="s">
        <v>467</v>
      </c>
      <c r="B22" s="41" t="s">
        <v>494</v>
      </c>
    </row>
    <row r="23" spans="1:2" x14ac:dyDescent="0.2">
      <c r="A23" s="41" t="s">
        <v>468</v>
      </c>
      <c r="B23" s="41" t="s">
        <v>495</v>
      </c>
    </row>
    <row r="24" spans="1:2" x14ac:dyDescent="0.2">
      <c r="A24" s="41"/>
      <c r="B24" s="41"/>
    </row>
    <row r="25" spans="1:2" ht="15.75" x14ac:dyDescent="0.25">
      <c r="A25" s="206" t="str">
        <f>+CONCATENATE(LEFT(A6,4),". évi eredeti előirányzat KIADÁSOK")</f>
        <v>2024. évi eredeti előirányzat KIADÁSOK</v>
      </c>
      <c r="B25" s="207"/>
    </row>
    <row r="26" spans="1:2" x14ac:dyDescent="0.2">
      <c r="A26" s="41"/>
      <c r="B26" s="41"/>
    </row>
    <row r="27" spans="1:2" x14ac:dyDescent="0.2">
      <c r="A27" s="41" t="s">
        <v>469</v>
      </c>
      <c r="B27" s="41" t="s">
        <v>470</v>
      </c>
    </row>
    <row r="28" spans="1:2" x14ac:dyDescent="0.2">
      <c r="A28" s="41" t="s">
        <v>471</v>
      </c>
      <c r="B28" s="41" t="s">
        <v>472</v>
      </c>
    </row>
    <row r="29" spans="1:2" x14ac:dyDescent="0.2">
      <c r="A29" s="41" t="s">
        <v>473</v>
      </c>
      <c r="B29" s="41" t="s">
        <v>474</v>
      </c>
    </row>
    <row r="30" spans="1:2" x14ac:dyDescent="0.2">
      <c r="A30" s="41"/>
      <c r="B30" s="41"/>
    </row>
    <row r="31" spans="1:2" ht="15.75" x14ac:dyDescent="0.25">
      <c r="A31" s="206" t="str">
        <f>+CONCATENATE(LEFT(A6,4),". évi módosított előirányzat KIADÁSOK")</f>
        <v>2024. évi módosított előirányzat KIADÁSOK</v>
      </c>
      <c r="B31" s="207"/>
    </row>
    <row r="32" spans="1:2" x14ac:dyDescent="0.2">
      <c r="A32" s="41"/>
      <c r="B32" s="41"/>
    </row>
    <row r="33" spans="1:2" x14ac:dyDescent="0.2">
      <c r="A33" s="41" t="s">
        <v>475</v>
      </c>
      <c r="B33" s="41" t="s">
        <v>476</v>
      </c>
    </row>
    <row r="34" spans="1:2" x14ac:dyDescent="0.2">
      <c r="A34" s="41" t="s">
        <v>477</v>
      </c>
      <c r="B34" s="41" t="s">
        <v>478</v>
      </c>
    </row>
    <row r="35" spans="1:2" x14ac:dyDescent="0.2">
      <c r="A35" s="41" t="s">
        <v>479</v>
      </c>
      <c r="B35" s="41" t="s">
        <v>480</v>
      </c>
    </row>
    <row r="36" spans="1:2" x14ac:dyDescent="0.2">
      <c r="A36" s="41"/>
      <c r="B36" s="41"/>
    </row>
    <row r="37" spans="1:2" ht="15.75" x14ac:dyDescent="0.25">
      <c r="A37" s="206" t="str">
        <f>+CONCATENATE(LEFT(A6,4),". I-III. negyedévi teljesítés KIADÁSOK")</f>
        <v>2024. I-III. negyedévi teljesítés KIADÁSOK</v>
      </c>
      <c r="B37" s="207"/>
    </row>
    <row r="38" spans="1:2" x14ac:dyDescent="0.2">
      <c r="A38" s="41"/>
      <c r="B38" s="41"/>
    </row>
    <row r="39" spans="1:2" x14ac:dyDescent="0.2">
      <c r="A39" s="41" t="s">
        <v>481</v>
      </c>
      <c r="B39" s="41" t="s">
        <v>482</v>
      </c>
    </row>
    <row r="40" spans="1:2" x14ac:dyDescent="0.2">
      <c r="A40" s="41" t="s">
        <v>483</v>
      </c>
      <c r="B40" s="41" t="s">
        <v>484</v>
      </c>
    </row>
    <row r="41" spans="1:2" x14ac:dyDescent="0.2">
      <c r="A41" s="41" t="s">
        <v>485</v>
      </c>
      <c r="B41" s="41" t="s">
        <v>486</v>
      </c>
    </row>
  </sheetData>
  <sheetProtection sheet="1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4">
    <tabColor theme="8"/>
  </sheetPr>
  <dimension ref="A1:I167"/>
  <sheetViews>
    <sheetView topLeftCell="B1" zoomScale="120" zoomScaleNormal="120" zoomScaleSheetLayoutView="100" workbookViewId="0">
      <selection activeCell="E55" sqref="E55"/>
    </sheetView>
  </sheetViews>
  <sheetFormatPr defaultRowHeight="15.75" x14ac:dyDescent="0.25"/>
  <cols>
    <col min="1" max="1" width="9.5" style="106" customWidth="1"/>
    <col min="2" max="2" width="65.83203125" style="106" customWidth="1"/>
    <col min="3" max="3" width="17.83203125" style="107" customWidth="1"/>
    <col min="4" max="5" width="17.83203125" style="106" customWidth="1"/>
    <col min="6" max="16384" width="9.33203125" style="106"/>
  </cols>
  <sheetData>
    <row r="1" spans="1:5" x14ac:dyDescent="0.25">
      <c r="A1" s="194"/>
      <c r="B1" s="537" t="str">
        <f>CONCATENATE("1. melléklet ",IB_ALAPADATOK!A7," ",IB_ALAPADATOK!B7," ",IB_ALAPADATOK!C7," ",IB_ALAPADATOK!D7)</f>
        <v>1. melléklet a 2024. I. félévi költségvetési tájékoztatóhoz</v>
      </c>
      <c r="C1" s="538"/>
      <c r="D1" s="538"/>
      <c r="E1" s="538"/>
    </row>
    <row r="2" spans="1:5" x14ac:dyDescent="0.25">
      <c r="A2" s="539" t="str">
        <f>CONCATENATE(IB_ALAPADATOK!A3)</f>
        <v>Bátaszék Város Önkormányzata</v>
      </c>
      <c r="B2" s="540"/>
      <c r="C2" s="540"/>
      <c r="D2" s="540"/>
      <c r="E2" s="540"/>
    </row>
    <row r="3" spans="1:5" x14ac:dyDescent="0.25">
      <c r="A3" s="539" t="str">
        <f>CONCATENATE("Tájékoztatató a ",IB_ALAPADATOK!B7," évi költségvetés  ",IB_ALAPADATOK!C8," alakulásáról")</f>
        <v>Tájékoztatató a 2024. évi költségvetés  I. féléves alakulásáról</v>
      </c>
      <c r="B3" s="539"/>
      <c r="C3" s="541"/>
      <c r="D3" s="539"/>
      <c r="E3" s="539"/>
    </row>
    <row r="4" spans="1:5" x14ac:dyDescent="0.25">
      <c r="A4" s="539" t="s">
        <v>282</v>
      </c>
      <c r="B4" s="539"/>
      <c r="C4" s="541"/>
      <c r="D4" s="539"/>
      <c r="E4" s="539"/>
    </row>
    <row r="5" spans="1:5" x14ac:dyDescent="0.25">
      <c r="A5" s="194"/>
      <c r="B5" s="194"/>
      <c r="C5" s="195"/>
      <c r="D5" s="194"/>
      <c r="E5" s="194"/>
    </row>
    <row r="6" spans="1:5" ht="15.95" customHeight="1" x14ac:dyDescent="0.25">
      <c r="A6" s="542" t="s">
        <v>4</v>
      </c>
      <c r="B6" s="542"/>
      <c r="C6" s="542"/>
      <c r="D6" s="542"/>
      <c r="E6" s="542"/>
    </row>
    <row r="7" spans="1:5" ht="15.95" customHeight="1" thickBot="1" x14ac:dyDescent="0.3">
      <c r="A7" s="525"/>
      <c r="B7" s="525"/>
      <c r="C7" s="208"/>
      <c r="D7" s="194"/>
      <c r="E7" s="208" t="s">
        <v>283</v>
      </c>
    </row>
    <row r="8" spans="1:5" x14ac:dyDescent="0.25">
      <c r="A8" s="528" t="s">
        <v>44</v>
      </c>
      <c r="B8" s="530" t="s">
        <v>5</v>
      </c>
      <c r="C8" s="532" t="str">
        <f>+CONCATENATE(LEFT(IB_ÖSSZEFÜGGÉSEK!A6,4),". évi")</f>
        <v>2024. évi</v>
      </c>
      <c r="D8" s="533"/>
      <c r="E8" s="534"/>
    </row>
    <row r="9" spans="1:5" ht="24.75" thickBot="1" x14ac:dyDescent="0.3">
      <c r="A9" s="529"/>
      <c r="B9" s="531"/>
      <c r="C9" s="246" t="s">
        <v>258</v>
      </c>
      <c r="D9" s="246" t="s">
        <v>284</v>
      </c>
      <c r="E9" s="247" t="str">
        <f>+CONCATENATE(IB_ALAPADATOK!B7,IB_ALAPADATOK!C9," teljesítés")</f>
        <v>2024. VI. 30. teljesítés</v>
      </c>
    </row>
    <row r="10" spans="1:5" s="125" customFormat="1" ht="12" customHeight="1" thickBot="1" x14ac:dyDescent="0.25">
      <c r="A10" s="122" t="s">
        <v>190</v>
      </c>
      <c r="B10" s="123" t="s">
        <v>191</v>
      </c>
      <c r="C10" s="123" t="s">
        <v>192</v>
      </c>
      <c r="D10" s="123" t="s">
        <v>194</v>
      </c>
      <c r="E10" s="248" t="s">
        <v>193</v>
      </c>
    </row>
    <row r="11" spans="1:5" s="126" customFormat="1" ht="12" customHeight="1" thickBot="1" x14ac:dyDescent="0.25">
      <c r="A11" s="18">
        <v>1</v>
      </c>
      <c r="B11" s="13" t="s">
        <v>441</v>
      </c>
      <c r="C11" s="115">
        <f>C20+C21+C22+C23+C24</f>
        <v>977149334</v>
      </c>
      <c r="D11" s="66">
        <v>1012703032</v>
      </c>
      <c r="E11" s="66">
        <f>E20+E21+E22+E23+E24</f>
        <v>566625017</v>
      </c>
    </row>
    <row r="12" spans="1:5" s="126" customFormat="1" ht="12" customHeight="1" x14ac:dyDescent="0.2">
      <c r="A12" s="134" t="s">
        <v>293</v>
      </c>
      <c r="B12" s="127" t="s">
        <v>82</v>
      </c>
      <c r="C12" s="117">
        <v>232331548</v>
      </c>
      <c r="D12" s="210">
        <v>232331548</v>
      </c>
      <c r="E12" s="68">
        <v>120812406</v>
      </c>
    </row>
    <row r="13" spans="1:5" s="126" customFormat="1" ht="12" customHeight="1" x14ac:dyDescent="0.2">
      <c r="A13" s="135" t="s">
        <v>294</v>
      </c>
      <c r="B13" s="128" t="s">
        <v>83</v>
      </c>
      <c r="C13" s="117">
        <v>348088510</v>
      </c>
      <c r="D13" s="210">
        <v>348088510</v>
      </c>
      <c r="E13" s="67">
        <v>182976170</v>
      </c>
    </row>
    <row r="14" spans="1:5" s="126" customFormat="1" ht="12" customHeight="1" x14ac:dyDescent="0.2">
      <c r="A14" s="135" t="s">
        <v>295</v>
      </c>
      <c r="B14" s="128" t="s">
        <v>84</v>
      </c>
      <c r="C14" s="117">
        <v>125297160</v>
      </c>
      <c r="D14" s="210">
        <v>125297160</v>
      </c>
      <c r="E14" s="67">
        <v>72675807</v>
      </c>
    </row>
    <row r="15" spans="1:5" s="126" customFormat="1" ht="12" customHeight="1" x14ac:dyDescent="0.2">
      <c r="A15" s="135" t="s">
        <v>296</v>
      </c>
      <c r="B15" s="128" t="s">
        <v>396</v>
      </c>
      <c r="C15" s="117">
        <v>127035522</v>
      </c>
      <c r="D15" s="210">
        <v>127035522</v>
      </c>
      <c r="E15" s="67">
        <v>66058473</v>
      </c>
    </row>
    <row r="16" spans="1:5" s="126" customFormat="1" ht="12" customHeight="1" x14ac:dyDescent="0.2">
      <c r="A16" s="135" t="s">
        <v>297</v>
      </c>
      <c r="B16" s="74" t="s">
        <v>85</v>
      </c>
      <c r="C16" s="117">
        <f>13939687+4047853</f>
        <v>17987540</v>
      </c>
      <c r="D16" s="210">
        <v>17987540</v>
      </c>
      <c r="E16" s="67">
        <v>9353519</v>
      </c>
    </row>
    <row r="17" spans="1:5" s="126" customFormat="1" ht="12" customHeight="1" x14ac:dyDescent="0.2">
      <c r="A17" s="136" t="s">
        <v>298</v>
      </c>
      <c r="B17" s="75" t="s">
        <v>169</v>
      </c>
      <c r="C17" s="117"/>
      <c r="D17" s="386">
        <v>0</v>
      </c>
      <c r="E17" s="69"/>
    </row>
    <row r="18" spans="1:5" s="126" customFormat="1" ht="12" customHeight="1" x14ac:dyDescent="0.2">
      <c r="A18" s="331" t="s">
        <v>314</v>
      </c>
      <c r="B18" s="74" t="s">
        <v>170</v>
      </c>
      <c r="C18" s="117"/>
      <c r="D18" s="387">
        <v>2056856</v>
      </c>
      <c r="E18" s="67">
        <v>2056856</v>
      </c>
    </row>
    <row r="19" spans="1:5" s="126" customFormat="1" ht="12" customHeight="1" x14ac:dyDescent="0.2">
      <c r="A19" s="134" t="s">
        <v>292</v>
      </c>
      <c r="B19" s="127" t="s">
        <v>86</v>
      </c>
      <c r="C19" s="380"/>
      <c r="D19" s="210">
        <v>0</v>
      </c>
      <c r="E19" s="68"/>
    </row>
    <row r="20" spans="1:5" s="126" customFormat="1" ht="12" customHeight="1" x14ac:dyDescent="0.2">
      <c r="A20" s="134" t="s">
        <v>234</v>
      </c>
      <c r="B20" s="329" t="s">
        <v>378</v>
      </c>
      <c r="C20" s="381">
        <f>SUM(C12:C19)</f>
        <v>850740280</v>
      </c>
      <c r="D20" s="388">
        <v>852797136</v>
      </c>
      <c r="E20" s="210">
        <f>SUM(E12:E19)</f>
        <v>453933231</v>
      </c>
    </row>
    <row r="21" spans="1:5" s="126" customFormat="1" ht="12" customHeight="1" x14ac:dyDescent="0.2">
      <c r="A21" s="135" t="s">
        <v>235</v>
      </c>
      <c r="B21" s="128" t="s">
        <v>87</v>
      </c>
      <c r="C21" s="117"/>
      <c r="D21" s="210">
        <v>0</v>
      </c>
      <c r="E21" s="68"/>
    </row>
    <row r="22" spans="1:5" s="126" customFormat="1" ht="12" customHeight="1" x14ac:dyDescent="0.2">
      <c r="A22" s="135" t="s">
        <v>236</v>
      </c>
      <c r="B22" s="128" t="s">
        <v>163</v>
      </c>
      <c r="C22" s="117"/>
      <c r="D22" s="210">
        <v>0</v>
      </c>
      <c r="E22" s="68"/>
    </row>
    <row r="23" spans="1:5" s="126" customFormat="1" ht="12" customHeight="1" x14ac:dyDescent="0.2">
      <c r="A23" s="135" t="s">
        <v>299</v>
      </c>
      <c r="B23" s="128" t="s">
        <v>164</v>
      </c>
      <c r="C23" s="117"/>
      <c r="D23" s="210">
        <v>0</v>
      </c>
      <c r="E23" s="68"/>
    </row>
    <row r="24" spans="1:5" s="126" customFormat="1" ht="12" customHeight="1" x14ac:dyDescent="0.2">
      <c r="A24" s="135" t="s">
        <v>300</v>
      </c>
      <c r="B24" s="128" t="s">
        <v>88</v>
      </c>
      <c r="C24" s="117">
        <v>126409054</v>
      </c>
      <c r="D24" s="210">
        <v>159905896</v>
      </c>
      <c r="E24" s="68">
        <v>112691786</v>
      </c>
    </row>
    <row r="25" spans="1:5" s="126" customFormat="1" ht="12" customHeight="1" thickBot="1" x14ac:dyDescent="0.25">
      <c r="A25" s="136" t="s">
        <v>315</v>
      </c>
      <c r="B25" s="75" t="s">
        <v>363</v>
      </c>
      <c r="C25" s="117"/>
      <c r="D25" s="210">
        <v>0</v>
      </c>
      <c r="E25" s="69"/>
    </row>
    <row r="26" spans="1:5" s="126" customFormat="1" ht="12" customHeight="1" thickBot="1" x14ac:dyDescent="0.25">
      <c r="A26" s="18">
        <v>16</v>
      </c>
      <c r="B26" s="13" t="s">
        <v>364</v>
      </c>
      <c r="C26" s="115">
        <f>+C27+C28+C29+C30+C31</f>
        <v>18831116</v>
      </c>
      <c r="D26" s="66">
        <v>18831116</v>
      </c>
      <c r="E26" s="66">
        <f>SUM(E27:E31)</f>
        <v>6225000</v>
      </c>
    </row>
    <row r="27" spans="1:5" s="126" customFormat="1" ht="12" customHeight="1" x14ac:dyDescent="0.2">
      <c r="A27" s="134" t="s">
        <v>302</v>
      </c>
      <c r="B27" s="127" t="s">
        <v>89</v>
      </c>
      <c r="C27" s="117">
        <v>6225000</v>
      </c>
      <c r="D27" s="210">
        <v>6225000</v>
      </c>
      <c r="E27" s="68">
        <v>6225000</v>
      </c>
    </row>
    <row r="28" spans="1:5" s="126" customFormat="1" ht="12" customHeight="1" x14ac:dyDescent="0.2">
      <c r="A28" s="135" t="s">
        <v>303</v>
      </c>
      <c r="B28" s="128" t="s">
        <v>90</v>
      </c>
      <c r="C28" s="116"/>
      <c r="D28" s="210">
        <v>0</v>
      </c>
      <c r="E28" s="67"/>
    </row>
    <row r="29" spans="1:5" s="126" customFormat="1" ht="12" customHeight="1" x14ac:dyDescent="0.2">
      <c r="A29" s="135" t="s">
        <v>304</v>
      </c>
      <c r="B29" s="128" t="s">
        <v>165</v>
      </c>
      <c r="C29" s="116"/>
      <c r="D29" s="210">
        <v>0</v>
      </c>
      <c r="E29" s="67"/>
    </row>
    <row r="30" spans="1:5" s="126" customFormat="1" ht="12" customHeight="1" x14ac:dyDescent="0.2">
      <c r="A30" s="135" t="s">
        <v>305</v>
      </c>
      <c r="B30" s="128" t="s">
        <v>166</v>
      </c>
      <c r="C30" s="116"/>
      <c r="D30" s="210">
        <v>0</v>
      </c>
      <c r="E30" s="67"/>
    </row>
    <row r="31" spans="1:5" s="126" customFormat="1" ht="12" customHeight="1" x14ac:dyDescent="0.2">
      <c r="A31" s="135" t="s">
        <v>306</v>
      </c>
      <c r="B31" s="128" t="s">
        <v>91</v>
      </c>
      <c r="C31" s="116">
        <v>12606116</v>
      </c>
      <c r="D31" s="210">
        <v>12606116</v>
      </c>
      <c r="E31" s="67"/>
    </row>
    <row r="32" spans="1:5" s="126" customFormat="1" ht="12" customHeight="1" thickBot="1" x14ac:dyDescent="0.25">
      <c r="A32" s="136" t="s">
        <v>316</v>
      </c>
      <c r="B32" s="129" t="s">
        <v>412</v>
      </c>
      <c r="C32" s="116">
        <v>9806116</v>
      </c>
      <c r="D32" s="210">
        <v>9806116</v>
      </c>
      <c r="E32" s="69"/>
    </row>
    <row r="33" spans="1:5" s="126" customFormat="1" ht="12" customHeight="1" thickBot="1" x14ac:dyDescent="0.25">
      <c r="A33" s="18">
        <v>23</v>
      </c>
      <c r="B33" s="13" t="s">
        <v>365</v>
      </c>
      <c r="C33" s="121">
        <f>SUM(C34:C40)</f>
        <v>435000000</v>
      </c>
      <c r="D33" s="146">
        <v>435000000</v>
      </c>
      <c r="E33" s="146">
        <f>SUM(E34:E40)</f>
        <v>210536735</v>
      </c>
    </row>
    <row r="34" spans="1:5" s="126" customFormat="1" ht="12" customHeight="1" x14ac:dyDescent="0.2">
      <c r="A34" s="134" t="s">
        <v>308</v>
      </c>
      <c r="B34" s="127" t="s">
        <v>201</v>
      </c>
      <c r="C34" s="117"/>
      <c r="D34" s="210">
        <v>0</v>
      </c>
      <c r="E34" s="68"/>
    </row>
    <row r="35" spans="1:5" s="126" customFormat="1" ht="12" customHeight="1" x14ac:dyDescent="0.2">
      <c r="A35" s="135" t="s">
        <v>309</v>
      </c>
      <c r="B35" s="127" t="s">
        <v>646</v>
      </c>
      <c r="C35" s="116">
        <v>32000000</v>
      </c>
      <c r="D35" s="210">
        <v>32000000</v>
      </c>
      <c r="E35" s="67">
        <v>14915250</v>
      </c>
    </row>
    <row r="36" spans="1:5" s="126" customFormat="1" ht="12" customHeight="1" x14ac:dyDescent="0.2">
      <c r="A36" s="135" t="s">
        <v>310</v>
      </c>
      <c r="B36" s="127" t="s">
        <v>202</v>
      </c>
      <c r="C36" s="116">
        <v>400000000</v>
      </c>
      <c r="D36" s="210">
        <v>400000000</v>
      </c>
      <c r="E36" s="67">
        <v>194818055</v>
      </c>
    </row>
    <row r="37" spans="1:5" s="126" customFormat="1" ht="12" customHeight="1" x14ac:dyDescent="0.2">
      <c r="A37" s="135" t="s">
        <v>311</v>
      </c>
      <c r="B37" s="127" t="s">
        <v>291</v>
      </c>
      <c r="C37" s="116">
        <v>500000</v>
      </c>
      <c r="D37" s="210">
        <v>500000</v>
      </c>
      <c r="E37" s="67">
        <v>133800</v>
      </c>
    </row>
    <row r="38" spans="1:5" s="126" customFormat="1" ht="12" customHeight="1" x14ac:dyDescent="0.2">
      <c r="A38" s="135" t="s">
        <v>312</v>
      </c>
      <c r="B38" s="127" t="s">
        <v>92</v>
      </c>
      <c r="C38" s="116"/>
      <c r="D38" s="210">
        <v>0</v>
      </c>
      <c r="E38" s="67"/>
    </row>
    <row r="39" spans="1:5" s="126" customFormat="1" ht="12" customHeight="1" x14ac:dyDescent="0.2">
      <c r="A39" s="135" t="s">
        <v>313</v>
      </c>
      <c r="B39" s="127" t="s">
        <v>290</v>
      </c>
      <c r="C39" s="116"/>
      <c r="D39" s="210">
        <v>0</v>
      </c>
      <c r="E39" s="67"/>
    </row>
    <row r="40" spans="1:5" s="126" customFormat="1" ht="12" customHeight="1" thickBot="1" x14ac:dyDescent="0.25">
      <c r="A40" s="136" t="s">
        <v>317</v>
      </c>
      <c r="B40" s="127" t="s">
        <v>647</v>
      </c>
      <c r="C40" s="118">
        <v>2500000</v>
      </c>
      <c r="D40" s="210">
        <v>2500000</v>
      </c>
      <c r="E40" s="69">
        <v>669630</v>
      </c>
    </row>
    <row r="41" spans="1:5" s="126" customFormat="1" ht="12" customHeight="1" thickBot="1" x14ac:dyDescent="0.25">
      <c r="A41" s="18">
        <v>31</v>
      </c>
      <c r="B41" s="13" t="s">
        <v>366</v>
      </c>
      <c r="C41" s="115">
        <f>SUM(C42:C52)</f>
        <v>40911682</v>
      </c>
      <c r="D41" s="66">
        <v>41853262</v>
      </c>
      <c r="E41" s="66">
        <f>SUM(E42:E52)</f>
        <v>20652867</v>
      </c>
    </row>
    <row r="42" spans="1:5" s="126" customFormat="1" ht="12" customHeight="1" x14ac:dyDescent="0.2">
      <c r="A42" s="134" t="s">
        <v>318</v>
      </c>
      <c r="B42" s="127" t="s">
        <v>93</v>
      </c>
      <c r="C42" s="117"/>
      <c r="D42" s="210">
        <v>0</v>
      </c>
      <c r="E42" s="68"/>
    </row>
    <row r="43" spans="1:5" s="126" customFormat="1" ht="12" customHeight="1" x14ac:dyDescent="0.2">
      <c r="A43" s="135" t="s">
        <v>319</v>
      </c>
      <c r="B43" s="128" t="s">
        <v>94</v>
      </c>
      <c r="C43" s="116">
        <v>5100000</v>
      </c>
      <c r="D43" s="210">
        <v>5100000</v>
      </c>
      <c r="E43" s="67">
        <v>3230605</v>
      </c>
    </row>
    <row r="44" spans="1:5" s="126" customFormat="1" ht="12" customHeight="1" x14ac:dyDescent="0.2">
      <c r="A44" s="135" t="s">
        <v>320</v>
      </c>
      <c r="B44" s="128" t="s">
        <v>95</v>
      </c>
      <c r="C44" s="116">
        <v>3410000</v>
      </c>
      <c r="D44" s="210">
        <v>3410000</v>
      </c>
      <c r="E44" s="67">
        <v>2948280</v>
      </c>
    </row>
    <row r="45" spans="1:5" s="126" customFormat="1" ht="12" customHeight="1" x14ac:dyDescent="0.2">
      <c r="A45" s="135" t="s">
        <v>321</v>
      </c>
      <c r="B45" s="128" t="s">
        <v>96</v>
      </c>
      <c r="C45" s="116">
        <v>22740000</v>
      </c>
      <c r="D45" s="210">
        <v>22740000</v>
      </c>
      <c r="E45" s="67">
        <v>5584959</v>
      </c>
    </row>
    <row r="46" spans="1:5" s="126" customFormat="1" ht="12" customHeight="1" x14ac:dyDescent="0.2">
      <c r="A46" s="135" t="s">
        <v>322</v>
      </c>
      <c r="B46" s="128" t="s">
        <v>97</v>
      </c>
      <c r="C46" s="116"/>
      <c r="D46" s="210">
        <v>0</v>
      </c>
      <c r="E46" s="67"/>
    </row>
    <row r="47" spans="1:5" s="126" customFormat="1" ht="12" customHeight="1" x14ac:dyDescent="0.2">
      <c r="A47" s="135" t="s">
        <v>323</v>
      </c>
      <c r="B47" s="128" t="s">
        <v>98</v>
      </c>
      <c r="C47" s="116">
        <v>4163200</v>
      </c>
      <c r="D47" s="210">
        <v>5104780</v>
      </c>
      <c r="E47" s="67">
        <v>2708414</v>
      </c>
    </row>
    <row r="48" spans="1:5" s="126" customFormat="1" ht="12" customHeight="1" x14ac:dyDescent="0.2">
      <c r="A48" s="135" t="s">
        <v>324</v>
      </c>
      <c r="B48" s="128" t="s">
        <v>99</v>
      </c>
      <c r="C48" s="116">
        <v>5398482</v>
      </c>
      <c r="D48" s="210">
        <v>5398482</v>
      </c>
      <c r="E48" s="67">
        <v>5598898</v>
      </c>
    </row>
    <row r="49" spans="1:5" s="126" customFormat="1" ht="12" customHeight="1" x14ac:dyDescent="0.2">
      <c r="A49" s="135" t="s">
        <v>325</v>
      </c>
      <c r="B49" s="128" t="s">
        <v>203</v>
      </c>
      <c r="C49" s="116"/>
      <c r="D49" s="210">
        <v>0</v>
      </c>
      <c r="E49" s="67">
        <v>93</v>
      </c>
    </row>
    <row r="50" spans="1:5" s="126" customFormat="1" ht="12" customHeight="1" x14ac:dyDescent="0.2">
      <c r="A50" s="135" t="s">
        <v>326</v>
      </c>
      <c r="B50" s="128" t="s">
        <v>101</v>
      </c>
      <c r="C50" s="119"/>
      <c r="D50" s="210">
        <v>0</v>
      </c>
      <c r="E50" s="70"/>
    </row>
    <row r="51" spans="1:5" s="126" customFormat="1" ht="12" customHeight="1" x14ac:dyDescent="0.2">
      <c r="A51" s="136" t="s">
        <v>327</v>
      </c>
      <c r="B51" s="129" t="s">
        <v>171</v>
      </c>
      <c r="C51" s="120"/>
      <c r="D51" s="210">
        <v>0</v>
      </c>
      <c r="E51" s="71">
        <v>547706</v>
      </c>
    </row>
    <row r="52" spans="1:5" s="126" customFormat="1" ht="12" customHeight="1" thickBot="1" x14ac:dyDescent="0.25">
      <c r="A52" s="136" t="s">
        <v>328</v>
      </c>
      <c r="B52" s="75" t="s">
        <v>102</v>
      </c>
      <c r="C52" s="120">
        <v>100000</v>
      </c>
      <c r="D52" s="389">
        <v>100000</v>
      </c>
      <c r="E52" s="71">
        <v>33912</v>
      </c>
    </row>
    <row r="53" spans="1:5" s="126" customFormat="1" ht="12" customHeight="1" thickBot="1" x14ac:dyDescent="0.25">
      <c r="A53" s="18">
        <v>43</v>
      </c>
      <c r="B53" s="13" t="s">
        <v>367</v>
      </c>
      <c r="C53" s="115">
        <f>SUM(C54:C58)</f>
        <v>14330264</v>
      </c>
      <c r="D53" s="66">
        <v>5487333</v>
      </c>
      <c r="E53" s="66">
        <f>SUM(E54:E58)</f>
        <v>0</v>
      </c>
    </row>
    <row r="54" spans="1:5" s="126" customFormat="1" ht="12" customHeight="1" x14ac:dyDescent="0.2">
      <c r="A54" s="134" t="s">
        <v>329</v>
      </c>
      <c r="B54" s="127" t="s">
        <v>103</v>
      </c>
      <c r="C54" s="152"/>
      <c r="D54" s="390">
        <v>0</v>
      </c>
      <c r="E54" s="72"/>
    </row>
    <row r="55" spans="1:5" s="126" customFormat="1" ht="12" customHeight="1" x14ac:dyDescent="0.2">
      <c r="A55" s="135" t="s">
        <v>330</v>
      </c>
      <c r="B55" s="128" t="s">
        <v>104</v>
      </c>
      <c r="C55" s="119">
        <v>14330264</v>
      </c>
      <c r="D55" s="390">
        <v>5487333</v>
      </c>
      <c r="E55" s="70"/>
    </row>
    <row r="56" spans="1:5" s="126" customFormat="1" ht="12" customHeight="1" x14ac:dyDescent="0.2">
      <c r="A56" s="135" t="s">
        <v>331</v>
      </c>
      <c r="B56" s="128" t="s">
        <v>105</v>
      </c>
      <c r="C56" s="119"/>
      <c r="D56" s="390">
        <v>0</v>
      </c>
      <c r="E56" s="70"/>
    </row>
    <row r="57" spans="1:5" s="126" customFormat="1" ht="12" customHeight="1" x14ac:dyDescent="0.2">
      <c r="A57" s="135" t="s">
        <v>332</v>
      </c>
      <c r="B57" s="128" t="s">
        <v>106</v>
      </c>
      <c r="C57" s="119"/>
      <c r="D57" s="390">
        <v>0</v>
      </c>
      <c r="E57" s="70"/>
    </row>
    <row r="58" spans="1:5" s="126" customFormat="1" ht="12" customHeight="1" thickBot="1" x14ac:dyDescent="0.25">
      <c r="A58" s="136" t="s">
        <v>333</v>
      </c>
      <c r="B58" s="75" t="s">
        <v>107</v>
      </c>
      <c r="C58" s="120"/>
      <c r="D58" s="390">
        <v>0</v>
      </c>
      <c r="E58" s="71"/>
    </row>
    <row r="59" spans="1:5" s="126" customFormat="1" ht="12" customHeight="1" thickBot="1" x14ac:dyDescent="0.25">
      <c r="A59" s="18">
        <v>49</v>
      </c>
      <c r="B59" s="13" t="s">
        <v>379</v>
      </c>
      <c r="C59" s="115">
        <f>SUM(C60:C62)</f>
        <v>0</v>
      </c>
      <c r="D59" s="66">
        <v>0</v>
      </c>
      <c r="E59" s="66">
        <f>SUM(E60:E62)</f>
        <v>172480</v>
      </c>
    </row>
    <row r="60" spans="1:5" s="126" customFormat="1" ht="12" customHeight="1" x14ac:dyDescent="0.2">
      <c r="A60" s="134" t="s">
        <v>334</v>
      </c>
      <c r="B60" s="127" t="s">
        <v>108</v>
      </c>
      <c r="C60" s="117"/>
      <c r="D60" s="210">
        <v>0</v>
      </c>
      <c r="E60" s="68"/>
    </row>
    <row r="61" spans="1:5" s="126" customFormat="1" ht="12" customHeight="1" x14ac:dyDescent="0.2">
      <c r="A61" s="135" t="s">
        <v>335</v>
      </c>
      <c r="B61" s="128" t="s">
        <v>167</v>
      </c>
      <c r="C61" s="116"/>
      <c r="D61" s="210">
        <v>0</v>
      </c>
      <c r="E61" s="67"/>
    </row>
    <row r="62" spans="1:5" s="126" customFormat="1" ht="12" customHeight="1" x14ac:dyDescent="0.2">
      <c r="A62" s="135" t="s">
        <v>336</v>
      </c>
      <c r="B62" s="128" t="s">
        <v>109</v>
      </c>
      <c r="C62" s="116"/>
      <c r="D62" s="210">
        <v>0</v>
      </c>
      <c r="E62" s="67">
        <v>172480</v>
      </c>
    </row>
    <row r="63" spans="1:5" s="126" customFormat="1" ht="12" customHeight="1" thickBot="1" x14ac:dyDescent="0.25">
      <c r="A63" s="136" t="s">
        <v>337</v>
      </c>
      <c r="B63" s="75" t="s">
        <v>413</v>
      </c>
      <c r="C63" s="118"/>
      <c r="D63" s="210">
        <v>0</v>
      </c>
      <c r="E63" s="69"/>
    </row>
    <row r="64" spans="1:5" s="126" customFormat="1" ht="12" customHeight="1" thickBot="1" x14ac:dyDescent="0.25">
      <c r="A64" s="18">
        <v>54</v>
      </c>
      <c r="B64" s="73" t="s">
        <v>380</v>
      </c>
      <c r="C64" s="115">
        <f>SUM(C65:C67)</f>
        <v>0</v>
      </c>
      <c r="D64" s="66">
        <v>0</v>
      </c>
      <c r="E64" s="66">
        <f>SUM(E65:E67)</f>
        <v>0</v>
      </c>
    </row>
    <row r="65" spans="1:5" s="126" customFormat="1" ht="12" customHeight="1" x14ac:dyDescent="0.2">
      <c r="A65" s="134" t="s">
        <v>338</v>
      </c>
      <c r="B65" s="127" t="s">
        <v>110</v>
      </c>
      <c r="C65" s="119"/>
      <c r="D65" s="387">
        <v>0</v>
      </c>
      <c r="E65" s="70"/>
    </row>
    <row r="66" spans="1:5" s="126" customFormat="1" ht="12" customHeight="1" x14ac:dyDescent="0.2">
      <c r="A66" s="135" t="s">
        <v>339</v>
      </c>
      <c r="B66" s="128" t="s">
        <v>168</v>
      </c>
      <c r="C66" s="119"/>
      <c r="D66" s="387">
        <v>0</v>
      </c>
      <c r="E66" s="70"/>
    </row>
    <row r="67" spans="1:5" s="126" customFormat="1" ht="12" customHeight="1" x14ac:dyDescent="0.2">
      <c r="A67" s="135" t="s">
        <v>340</v>
      </c>
      <c r="B67" s="128" t="s">
        <v>111</v>
      </c>
      <c r="C67" s="119"/>
      <c r="D67" s="387">
        <v>0</v>
      </c>
      <c r="E67" s="70"/>
    </row>
    <row r="68" spans="1:5" s="126" customFormat="1" ht="12" customHeight="1" thickBot="1" x14ac:dyDescent="0.25">
      <c r="A68" s="136" t="s">
        <v>341</v>
      </c>
      <c r="B68" s="75" t="s">
        <v>414</v>
      </c>
      <c r="C68" s="119"/>
      <c r="D68" s="387">
        <v>0</v>
      </c>
      <c r="E68" s="70"/>
    </row>
    <row r="69" spans="1:5" s="126" customFormat="1" ht="12" customHeight="1" thickBot="1" x14ac:dyDescent="0.25">
      <c r="A69" s="18">
        <v>59</v>
      </c>
      <c r="B69" s="13" t="s">
        <v>381</v>
      </c>
      <c r="C69" s="121">
        <f>+C11+C26+C33+C41+C53+C59+C64</f>
        <v>1486222396</v>
      </c>
      <c r="D69" s="146">
        <v>1513874743</v>
      </c>
      <c r="E69" s="146">
        <f>E64+E59+E53+E41+E33+E26+E11</f>
        <v>804212099</v>
      </c>
    </row>
    <row r="70" spans="1:5" s="126" customFormat="1" ht="12" customHeight="1" thickBot="1" x14ac:dyDescent="0.25">
      <c r="A70" s="57">
        <v>60</v>
      </c>
      <c r="B70" s="73" t="s">
        <v>382</v>
      </c>
      <c r="C70" s="115">
        <f>SUM(C71:C73)</f>
        <v>0</v>
      </c>
      <c r="D70" s="66">
        <v>0</v>
      </c>
      <c r="E70" s="66">
        <f>SUM(E71:E73)</f>
        <v>0</v>
      </c>
    </row>
    <row r="71" spans="1:5" s="126" customFormat="1" ht="12" customHeight="1" x14ac:dyDescent="0.2">
      <c r="A71" s="134" t="s">
        <v>342</v>
      </c>
      <c r="B71" s="127" t="s">
        <v>112</v>
      </c>
      <c r="C71" s="119"/>
      <c r="D71" s="387">
        <v>0</v>
      </c>
      <c r="E71" s="70"/>
    </row>
    <row r="72" spans="1:5" s="126" customFormat="1" ht="12" customHeight="1" x14ac:dyDescent="0.2">
      <c r="A72" s="135" t="s">
        <v>343</v>
      </c>
      <c r="B72" s="128" t="s">
        <v>113</v>
      </c>
      <c r="C72" s="119"/>
      <c r="D72" s="387">
        <v>0</v>
      </c>
      <c r="E72" s="70"/>
    </row>
    <row r="73" spans="1:5" s="126" customFormat="1" ht="12" customHeight="1" thickBot="1" x14ac:dyDescent="0.25">
      <c r="A73" s="136" t="s">
        <v>344</v>
      </c>
      <c r="B73" s="156" t="s">
        <v>409</v>
      </c>
      <c r="C73" s="119"/>
      <c r="D73" s="391">
        <v>0</v>
      </c>
      <c r="E73" s="70"/>
    </row>
    <row r="74" spans="1:5" s="126" customFormat="1" ht="12" customHeight="1" thickBot="1" x14ac:dyDescent="0.25">
      <c r="A74" s="57">
        <v>64</v>
      </c>
      <c r="B74" s="73" t="s">
        <v>383</v>
      </c>
      <c r="C74" s="115">
        <f>SUM(C75:C78)</f>
        <v>0</v>
      </c>
      <c r="D74" s="66">
        <v>0</v>
      </c>
      <c r="E74" s="66">
        <f>SUM(E75:E78)</f>
        <v>0</v>
      </c>
    </row>
    <row r="75" spans="1:5" s="126" customFormat="1" ht="12" customHeight="1" x14ac:dyDescent="0.2">
      <c r="A75" s="134" t="s">
        <v>345</v>
      </c>
      <c r="B75" s="127" t="s">
        <v>114</v>
      </c>
      <c r="C75" s="119"/>
      <c r="D75" s="387">
        <v>0</v>
      </c>
      <c r="E75" s="70"/>
    </row>
    <row r="76" spans="1:5" s="126" customFormat="1" ht="12" customHeight="1" x14ac:dyDescent="0.2">
      <c r="A76" s="135" t="s">
        <v>346</v>
      </c>
      <c r="B76" s="127" t="s">
        <v>208</v>
      </c>
      <c r="C76" s="119"/>
      <c r="D76" s="387">
        <v>0</v>
      </c>
      <c r="E76" s="70"/>
    </row>
    <row r="77" spans="1:5" s="126" customFormat="1" ht="12" customHeight="1" x14ac:dyDescent="0.2">
      <c r="A77" s="135" t="s">
        <v>347</v>
      </c>
      <c r="B77" s="127" t="s">
        <v>115</v>
      </c>
      <c r="C77" s="120"/>
      <c r="D77" s="387">
        <v>0</v>
      </c>
      <c r="E77" s="70"/>
    </row>
    <row r="78" spans="1:5" s="126" customFormat="1" ht="12" customHeight="1" thickBot="1" x14ac:dyDescent="0.25">
      <c r="A78" s="136" t="s">
        <v>348</v>
      </c>
      <c r="B78" s="174" t="s">
        <v>209</v>
      </c>
      <c r="C78" s="382"/>
      <c r="D78" s="387">
        <v>0</v>
      </c>
      <c r="E78" s="70"/>
    </row>
    <row r="79" spans="1:5" s="126" customFormat="1" ht="12" customHeight="1" thickBot="1" x14ac:dyDescent="0.25">
      <c r="A79" s="57">
        <v>69</v>
      </c>
      <c r="B79" s="73" t="s">
        <v>384</v>
      </c>
      <c r="C79" s="115">
        <f>SUM(C80:C81)</f>
        <v>784196835</v>
      </c>
      <c r="D79" s="66">
        <v>784196835</v>
      </c>
      <c r="E79" s="66">
        <f>SUM(E80:E81)</f>
        <v>784196835</v>
      </c>
    </row>
    <row r="80" spans="1:5" s="126" customFormat="1" ht="12" customHeight="1" x14ac:dyDescent="0.2">
      <c r="A80" s="134" t="s">
        <v>349</v>
      </c>
      <c r="B80" s="127" t="s">
        <v>116</v>
      </c>
      <c r="C80" s="383">
        <v>784196835</v>
      </c>
      <c r="D80" s="387">
        <v>784196835</v>
      </c>
      <c r="E80" s="70">
        <v>784196835</v>
      </c>
    </row>
    <row r="81" spans="1:5" s="126" customFormat="1" ht="12" customHeight="1" thickBot="1" x14ac:dyDescent="0.25">
      <c r="A81" s="136" t="s">
        <v>350</v>
      </c>
      <c r="B81" s="75" t="s">
        <v>117</v>
      </c>
      <c r="C81" s="382"/>
      <c r="D81" s="387">
        <v>0</v>
      </c>
      <c r="E81" s="70"/>
    </row>
    <row r="82" spans="1:5" s="126" customFormat="1" ht="12" customHeight="1" thickBot="1" x14ac:dyDescent="0.25">
      <c r="A82" s="57">
        <v>72</v>
      </c>
      <c r="B82" s="73" t="s">
        <v>385</v>
      </c>
      <c r="C82" s="115">
        <f>SUM(C83:C85)</f>
        <v>0</v>
      </c>
      <c r="D82" s="66">
        <v>0</v>
      </c>
      <c r="E82" s="66">
        <f>SUM(E83:E85)</f>
        <v>0</v>
      </c>
    </row>
    <row r="83" spans="1:5" s="126" customFormat="1" ht="12" customHeight="1" x14ac:dyDescent="0.2">
      <c r="A83" s="134" t="s">
        <v>351</v>
      </c>
      <c r="B83" s="127" t="s">
        <v>118</v>
      </c>
      <c r="C83" s="119"/>
      <c r="D83" s="387">
        <v>0</v>
      </c>
      <c r="E83" s="70"/>
    </row>
    <row r="84" spans="1:5" s="126" customFormat="1" ht="12" customHeight="1" x14ac:dyDescent="0.2">
      <c r="A84" s="135" t="s">
        <v>352</v>
      </c>
      <c r="B84" s="128" t="s">
        <v>119</v>
      </c>
      <c r="C84" s="119"/>
      <c r="D84" s="387">
        <v>0</v>
      </c>
      <c r="E84" s="70"/>
    </row>
    <row r="85" spans="1:5" s="126" customFormat="1" ht="12" customHeight="1" thickBot="1" x14ac:dyDescent="0.25">
      <c r="A85" s="136" t="s">
        <v>353</v>
      </c>
      <c r="B85" s="75" t="s">
        <v>210</v>
      </c>
      <c r="C85" s="382"/>
      <c r="D85" s="387">
        <v>0</v>
      </c>
      <c r="E85" s="70"/>
    </row>
    <row r="86" spans="1:5" s="126" customFormat="1" ht="12" customHeight="1" thickBot="1" x14ac:dyDescent="0.25">
      <c r="A86" s="57" t="s">
        <v>354</v>
      </c>
      <c r="B86" s="73" t="s">
        <v>368</v>
      </c>
      <c r="C86" s="115">
        <f>SUM(C87:C90)</f>
        <v>0</v>
      </c>
      <c r="D86" s="66">
        <v>0</v>
      </c>
      <c r="E86" s="66">
        <f>SUM(E87:E90)</f>
        <v>0</v>
      </c>
    </row>
    <row r="87" spans="1:5" s="126" customFormat="1" ht="12" customHeight="1" x14ac:dyDescent="0.2">
      <c r="A87" s="138" t="s">
        <v>355</v>
      </c>
      <c r="B87" s="127" t="s">
        <v>120</v>
      </c>
      <c r="C87" s="119"/>
      <c r="D87" s="387">
        <v>0</v>
      </c>
      <c r="E87" s="70"/>
    </row>
    <row r="88" spans="1:5" s="126" customFormat="1" ht="12" customHeight="1" x14ac:dyDescent="0.2">
      <c r="A88" s="139" t="s">
        <v>356</v>
      </c>
      <c r="B88" s="128" t="s">
        <v>121</v>
      </c>
      <c r="C88" s="119"/>
      <c r="D88" s="387">
        <v>0</v>
      </c>
      <c r="E88" s="70"/>
    </row>
    <row r="89" spans="1:5" s="126" customFormat="1" ht="12" customHeight="1" x14ac:dyDescent="0.2">
      <c r="A89" s="139" t="s">
        <v>357</v>
      </c>
      <c r="B89" s="128" t="s">
        <v>122</v>
      </c>
      <c r="C89" s="119"/>
      <c r="D89" s="387">
        <v>0</v>
      </c>
      <c r="E89" s="70"/>
    </row>
    <row r="90" spans="1:5" s="126" customFormat="1" ht="12" customHeight="1" thickBot="1" x14ac:dyDescent="0.25">
      <c r="A90" s="140" t="s">
        <v>358</v>
      </c>
      <c r="B90" s="75" t="s">
        <v>123</v>
      </c>
      <c r="C90" s="119"/>
      <c r="D90" s="387">
        <v>0</v>
      </c>
      <c r="E90" s="70"/>
    </row>
    <row r="91" spans="1:5" s="126" customFormat="1" ht="12" customHeight="1" thickBot="1" x14ac:dyDescent="0.25">
      <c r="A91" s="57" t="s">
        <v>359</v>
      </c>
      <c r="B91" s="73" t="s">
        <v>189</v>
      </c>
      <c r="C91" s="153"/>
      <c r="D91" s="66">
        <v>0</v>
      </c>
      <c r="E91" s="154"/>
    </row>
    <row r="92" spans="1:5" s="126" customFormat="1" ht="13.5" customHeight="1" thickBot="1" x14ac:dyDescent="0.25">
      <c r="A92" s="57" t="s">
        <v>360</v>
      </c>
      <c r="B92" s="73" t="s">
        <v>124</v>
      </c>
      <c r="C92" s="153"/>
      <c r="D92" s="66">
        <v>0</v>
      </c>
      <c r="E92" s="154"/>
    </row>
    <row r="93" spans="1:5" s="126" customFormat="1" ht="15.75" customHeight="1" thickBot="1" x14ac:dyDescent="0.25">
      <c r="A93" s="57" t="s">
        <v>361</v>
      </c>
      <c r="B93" s="130" t="s">
        <v>386</v>
      </c>
      <c r="C93" s="121">
        <f>+C70+C74+C79+C82+C86+C91+C92</f>
        <v>784196835</v>
      </c>
      <c r="D93" s="146">
        <v>784196835</v>
      </c>
      <c r="E93" s="146">
        <f>E92+E91+E86+E82+E79+E74+E70</f>
        <v>784196835</v>
      </c>
    </row>
    <row r="94" spans="1:5" s="126" customFormat="1" ht="25.5" customHeight="1" thickBot="1" x14ac:dyDescent="0.25">
      <c r="A94" s="145" t="s">
        <v>362</v>
      </c>
      <c r="B94" s="131" t="s">
        <v>369</v>
      </c>
      <c r="C94" s="121">
        <f>+C69+C93</f>
        <v>2270419231</v>
      </c>
      <c r="D94" s="146">
        <v>2298071578</v>
      </c>
      <c r="E94" s="146">
        <f>E93+E69</f>
        <v>1588408934</v>
      </c>
    </row>
    <row r="95" spans="1:5" s="126" customFormat="1" ht="15.2" customHeight="1" x14ac:dyDescent="0.2">
      <c r="A95" s="3"/>
      <c r="B95" s="4"/>
      <c r="C95" s="77"/>
    </row>
    <row r="96" spans="1:5" ht="16.5" customHeight="1" x14ac:dyDescent="0.25">
      <c r="A96" s="535" t="s">
        <v>29</v>
      </c>
      <c r="B96" s="535"/>
      <c r="C96" s="535"/>
      <c r="D96" s="535"/>
      <c r="E96" s="535"/>
    </row>
    <row r="97" spans="1:5" ht="16.5" customHeight="1" thickBot="1" x14ac:dyDescent="0.3">
      <c r="A97" s="536"/>
      <c r="B97" s="536"/>
      <c r="C97" s="213"/>
      <c r="E97" s="213" t="str">
        <f>E7</f>
        <v xml:space="preserve"> Forintban!</v>
      </c>
    </row>
    <row r="98" spans="1:5" x14ac:dyDescent="0.25">
      <c r="A98" s="528" t="s">
        <v>44</v>
      </c>
      <c r="B98" s="530" t="s">
        <v>260</v>
      </c>
      <c r="C98" s="532" t="str">
        <f>+CONCATENATE(LEFT(IB_ÖSSZEFÜGGÉSEK!A6,4),". évi")</f>
        <v>2024. évi</v>
      </c>
      <c r="D98" s="533"/>
      <c r="E98" s="534"/>
    </row>
    <row r="99" spans="1:5" ht="24.75" thickBot="1" x14ac:dyDescent="0.3">
      <c r="A99" s="529"/>
      <c r="B99" s="531"/>
      <c r="C99" s="246" t="s">
        <v>258</v>
      </c>
      <c r="D99" s="246" t="s">
        <v>284</v>
      </c>
      <c r="E99" s="247" t="str">
        <f>+CONCATENATE(IB_ALAPADATOK!B7,IB_ALAPADATOK!C9," teljesítés")</f>
        <v>2024. VI. 30. teljesítés</v>
      </c>
    </row>
    <row r="100" spans="1:5" s="125" customFormat="1" ht="12" customHeight="1" thickBot="1" x14ac:dyDescent="0.25">
      <c r="A100" s="18" t="s">
        <v>190</v>
      </c>
      <c r="B100" s="19" t="s">
        <v>191</v>
      </c>
      <c r="C100" s="19" t="s">
        <v>192</v>
      </c>
      <c r="D100" s="19" t="s">
        <v>194</v>
      </c>
      <c r="E100" s="348" t="s">
        <v>193</v>
      </c>
    </row>
    <row r="101" spans="1:5" ht="12" customHeight="1" thickBot="1" x14ac:dyDescent="0.3">
      <c r="A101" s="122">
        <v>1</v>
      </c>
      <c r="B101" s="17" t="s">
        <v>496</v>
      </c>
      <c r="C101" s="114">
        <f>SUM(C102:C106)</f>
        <v>1587575239</v>
      </c>
      <c r="D101" s="114">
        <v>1609802732</v>
      </c>
      <c r="E101" s="161">
        <f>SUM(E102:E106)</f>
        <v>772602576</v>
      </c>
    </row>
    <row r="102" spans="1:5" ht="12" customHeight="1" x14ac:dyDescent="0.25">
      <c r="A102" s="142" t="s">
        <v>293</v>
      </c>
      <c r="B102" s="8" t="s">
        <v>30</v>
      </c>
      <c r="C102" s="168">
        <v>236589545</v>
      </c>
      <c r="D102" s="168">
        <v>251784984</v>
      </c>
      <c r="E102" s="162">
        <v>115879227</v>
      </c>
    </row>
    <row r="103" spans="1:5" ht="12" customHeight="1" x14ac:dyDescent="0.25">
      <c r="A103" s="135" t="s">
        <v>294</v>
      </c>
      <c r="B103" s="6" t="s">
        <v>56</v>
      </c>
      <c r="C103" s="116">
        <v>31349206</v>
      </c>
      <c r="D103" s="116">
        <v>33307153</v>
      </c>
      <c r="E103" s="67">
        <v>15344552</v>
      </c>
    </row>
    <row r="104" spans="1:5" ht="12" customHeight="1" x14ac:dyDescent="0.25">
      <c r="A104" s="135" t="s">
        <v>295</v>
      </c>
      <c r="B104" s="6" t="s">
        <v>46</v>
      </c>
      <c r="C104" s="118">
        <v>229341717</v>
      </c>
      <c r="D104" s="118">
        <v>236113274</v>
      </c>
      <c r="E104" s="69">
        <v>103022741</v>
      </c>
    </row>
    <row r="105" spans="1:5" ht="12" customHeight="1" x14ac:dyDescent="0.25">
      <c r="A105" s="135" t="s">
        <v>296</v>
      </c>
      <c r="B105" s="9" t="s">
        <v>57</v>
      </c>
      <c r="C105" s="118">
        <v>15710000</v>
      </c>
      <c r="D105" s="118">
        <v>15710000</v>
      </c>
      <c r="E105" s="69">
        <v>6921288</v>
      </c>
    </row>
    <row r="106" spans="1:5" ht="12" customHeight="1" x14ac:dyDescent="0.25">
      <c r="A106" s="135" t="s">
        <v>297</v>
      </c>
      <c r="B106" s="12" t="s">
        <v>58</v>
      </c>
      <c r="C106" s="118">
        <f>SUM(C107:C119)</f>
        <v>1074584771</v>
      </c>
      <c r="D106" s="118">
        <v>1072887321</v>
      </c>
      <c r="E106" s="69">
        <f>E107+E108+E113+E118</f>
        <v>531434768</v>
      </c>
    </row>
    <row r="107" spans="1:5" ht="12" customHeight="1" x14ac:dyDescent="0.25">
      <c r="A107" s="135" t="s">
        <v>298</v>
      </c>
      <c r="B107" s="6" t="s">
        <v>415</v>
      </c>
      <c r="C107" s="384">
        <v>2870687</v>
      </c>
      <c r="D107" s="118">
        <v>3141331</v>
      </c>
      <c r="E107" s="69">
        <v>3141331</v>
      </c>
    </row>
    <row r="108" spans="1:5" ht="12" customHeight="1" x14ac:dyDescent="0.25">
      <c r="A108" s="135" t="s">
        <v>314</v>
      </c>
      <c r="B108" s="46" t="s">
        <v>172</v>
      </c>
      <c r="C108" s="118">
        <v>40628908</v>
      </c>
      <c r="D108" s="118">
        <v>40628908</v>
      </c>
      <c r="E108" s="69">
        <v>21127034</v>
      </c>
    </row>
    <row r="109" spans="1:5" ht="12" customHeight="1" x14ac:dyDescent="0.25">
      <c r="A109" s="135" t="s">
        <v>292</v>
      </c>
      <c r="B109" s="46" t="s">
        <v>387</v>
      </c>
      <c r="C109" s="118"/>
      <c r="D109" s="118">
        <v>0</v>
      </c>
      <c r="E109" s="69"/>
    </row>
    <row r="110" spans="1:5" ht="12" customHeight="1" x14ac:dyDescent="0.25">
      <c r="A110" s="135" t="s">
        <v>234</v>
      </c>
      <c r="B110" s="44" t="s">
        <v>125</v>
      </c>
      <c r="C110" s="118"/>
      <c r="D110" s="118">
        <v>0</v>
      </c>
      <c r="E110" s="69"/>
    </row>
    <row r="111" spans="1:5" ht="12" customHeight="1" x14ac:dyDescent="0.25">
      <c r="A111" s="135" t="s">
        <v>235</v>
      </c>
      <c r="B111" s="45" t="s">
        <v>126</v>
      </c>
      <c r="C111" s="118"/>
      <c r="D111" s="118">
        <v>0</v>
      </c>
      <c r="E111" s="69"/>
    </row>
    <row r="112" spans="1:5" ht="12" customHeight="1" x14ac:dyDescent="0.25">
      <c r="A112" s="135" t="s">
        <v>236</v>
      </c>
      <c r="B112" s="45" t="s">
        <v>127</v>
      </c>
      <c r="C112" s="118"/>
      <c r="D112" s="118">
        <v>0</v>
      </c>
      <c r="E112" s="69"/>
    </row>
    <row r="113" spans="1:5" ht="12" customHeight="1" x14ac:dyDescent="0.25">
      <c r="A113" s="135" t="s">
        <v>299</v>
      </c>
      <c r="B113" s="44" t="s">
        <v>128</v>
      </c>
      <c r="C113" s="118">
        <v>691461527</v>
      </c>
      <c r="D113" s="118">
        <v>686418857</v>
      </c>
      <c r="E113" s="69">
        <v>332677215</v>
      </c>
    </row>
    <row r="114" spans="1:5" ht="12" customHeight="1" x14ac:dyDescent="0.25">
      <c r="A114" s="135" t="s">
        <v>300</v>
      </c>
      <c r="B114" s="44" t="s">
        <v>129</v>
      </c>
      <c r="C114" s="118"/>
      <c r="D114" s="118">
        <v>0</v>
      </c>
      <c r="E114" s="69"/>
    </row>
    <row r="115" spans="1:5" ht="12" customHeight="1" x14ac:dyDescent="0.25">
      <c r="A115" s="135" t="s">
        <v>315</v>
      </c>
      <c r="B115" s="45" t="s">
        <v>130</v>
      </c>
      <c r="C115" s="118"/>
      <c r="D115" s="118">
        <v>0</v>
      </c>
      <c r="E115" s="69"/>
    </row>
    <row r="116" spans="1:5" ht="12" customHeight="1" x14ac:dyDescent="0.25">
      <c r="A116" s="143" t="s">
        <v>301</v>
      </c>
      <c r="B116" s="46" t="s">
        <v>131</v>
      </c>
      <c r="C116" s="118"/>
      <c r="D116" s="118">
        <v>0</v>
      </c>
      <c r="E116" s="69"/>
    </row>
    <row r="117" spans="1:5" ht="12" customHeight="1" x14ac:dyDescent="0.25">
      <c r="A117" s="135" t="s">
        <v>302</v>
      </c>
      <c r="B117" s="46" t="s">
        <v>132</v>
      </c>
      <c r="C117" s="118"/>
      <c r="D117" s="118">
        <v>0</v>
      </c>
      <c r="E117" s="69"/>
    </row>
    <row r="118" spans="1:5" ht="12" customHeight="1" x14ac:dyDescent="0.25">
      <c r="A118" s="136" t="s">
        <v>303</v>
      </c>
      <c r="B118" s="46" t="s">
        <v>133</v>
      </c>
      <c r="C118" s="118">
        <v>280794688</v>
      </c>
      <c r="D118" s="118">
        <v>315169658</v>
      </c>
      <c r="E118" s="69">
        <v>174489188</v>
      </c>
    </row>
    <row r="119" spans="1:5" ht="12" customHeight="1" x14ac:dyDescent="0.25">
      <c r="A119" s="135" t="s">
        <v>304</v>
      </c>
      <c r="B119" s="9" t="s">
        <v>388</v>
      </c>
      <c r="C119" s="116">
        <f>SUM(C120:C121)</f>
        <v>58828961</v>
      </c>
      <c r="D119" s="116">
        <v>27528567</v>
      </c>
      <c r="E119" s="67"/>
    </row>
    <row r="120" spans="1:5" ht="12" customHeight="1" x14ac:dyDescent="0.25">
      <c r="A120" s="135" t="s">
        <v>305</v>
      </c>
      <c r="B120" s="6" t="s">
        <v>389</v>
      </c>
      <c r="C120" s="116">
        <v>10000000</v>
      </c>
      <c r="D120" s="116">
        <v>8120506</v>
      </c>
      <c r="E120" s="67"/>
    </row>
    <row r="121" spans="1:5" ht="12" customHeight="1" thickBot="1" x14ac:dyDescent="0.3">
      <c r="A121" s="144" t="s">
        <v>306</v>
      </c>
      <c r="B121" s="158" t="s">
        <v>410</v>
      </c>
      <c r="C121" s="169">
        <v>48828961</v>
      </c>
      <c r="D121" s="169">
        <v>19408061</v>
      </c>
      <c r="E121" s="163"/>
    </row>
    <row r="122" spans="1:5" ht="12" customHeight="1" thickBot="1" x14ac:dyDescent="0.3">
      <c r="A122" s="361" t="s">
        <v>316</v>
      </c>
      <c r="B122" s="157" t="s">
        <v>497</v>
      </c>
      <c r="C122" s="170">
        <f>+C123+C125+C127</f>
        <v>654023880</v>
      </c>
      <c r="D122" s="115">
        <v>659448734</v>
      </c>
      <c r="E122" s="164">
        <f>E123+E125+E127</f>
        <v>22728853</v>
      </c>
    </row>
    <row r="123" spans="1:5" ht="12" customHeight="1" x14ac:dyDescent="0.25">
      <c r="A123" s="134">
        <v>23</v>
      </c>
      <c r="B123" s="6" t="s">
        <v>67</v>
      </c>
      <c r="C123" s="117">
        <v>613357880</v>
      </c>
      <c r="D123" s="219">
        <v>616333101</v>
      </c>
      <c r="E123" s="68">
        <f>22408853-635000</f>
        <v>21773853</v>
      </c>
    </row>
    <row r="124" spans="1:5" ht="12" customHeight="1" x14ac:dyDescent="0.25">
      <c r="A124" s="134" t="s">
        <v>308</v>
      </c>
      <c r="B124" s="10" t="s">
        <v>408</v>
      </c>
      <c r="C124" s="117">
        <v>571000000</v>
      </c>
      <c r="D124" s="219">
        <v>571000000</v>
      </c>
      <c r="E124" s="68"/>
    </row>
    <row r="125" spans="1:5" ht="12" customHeight="1" x14ac:dyDescent="0.25">
      <c r="A125" s="134" t="s">
        <v>309</v>
      </c>
      <c r="B125" s="10" t="s">
        <v>59</v>
      </c>
      <c r="C125" s="116">
        <v>37616000</v>
      </c>
      <c r="D125" s="220">
        <v>40065633</v>
      </c>
      <c r="E125" s="67">
        <v>955000</v>
      </c>
    </row>
    <row r="126" spans="1:5" ht="12" customHeight="1" x14ac:dyDescent="0.25">
      <c r="A126" s="134" t="s">
        <v>310</v>
      </c>
      <c r="B126" s="10" t="s">
        <v>375</v>
      </c>
      <c r="C126" s="116"/>
      <c r="D126" s="220">
        <v>0</v>
      </c>
      <c r="E126" s="67"/>
    </row>
    <row r="127" spans="1:5" ht="12" customHeight="1" x14ac:dyDescent="0.25">
      <c r="A127" s="134" t="s">
        <v>311</v>
      </c>
      <c r="B127" s="75" t="s">
        <v>211</v>
      </c>
      <c r="C127" s="116">
        <f>SUM(C128:C135)</f>
        <v>3050000</v>
      </c>
      <c r="D127" s="220">
        <v>3050000</v>
      </c>
      <c r="E127" s="67"/>
    </row>
    <row r="128" spans="1:5" ht="12" customHeight="1" x14ac:dyDescent="0.25">
      <c r="A128" s="134" t="s">
        <v>312</v>
      </c>
      <c r="B128" s="74" t="s">
        <v>411</v>
      </c>
      <c r="C128" s="116"/>
      <c r="D128" s="220">
        <v>0</v>
      </c>
      <c r="E128" s="67"/>
    </row>
    <row r="129" spans="1:5" ht="12" customHeight="1" x14ac:dyDescent="0.25">
      <c r="A129" s="134" t="s">
        <v>313</v>
      </c>
      <c r="B129" s="124" t="s">
        <v>138</v>
      </c>
      <c r="C129" s="116"/>
      <c r="D129" s="220">
        <v>0</v>
      </c>
      <c r="E129" s="67"/>
    </row>
    <row r="130" spans="1:5" x14ac:dyDescent="0.25">
      <c r="A130" s="134" t="s">
        <v>317</v>
      </c>
      <c r="B130" s="45" t="s">
        <v>127</v>
      </c>
      <c r="C130" s="116"/>
      <c r="D130" s="220">
        <v>0</v>
      </c>
      <c r="E130" s="67"/>
    </row>
    <row r="131" spans="1:5" ht="12" customHeight="1" x14ac:dyDescent="0.25">
      <c r="A131" s="134" t="s">
        <v>370</v>
      </c>
      <c r="B131" s="45" t="s">
        <v>137</v>
      </c>
      <c r="C131" s="116"/>
      <c r="D131" s="220">
        <v>0</v>
      </c>
      <c r="E131" s="67"/>
    </row>
    <row r="132" spans="1:5" ht="12" customHeight="1" x14ac:dyDescent="0.25">
      <c r="A132" s="134" t="s">
        <v>318</v>
      </c>
      <c r="B132" s="45" t="s">
        <v>136</v>
      </c>
      <c r="C132" s="116"/>
      <c r="D132" s="220">
        <v>0</v>
      </c>
      <c r="E132" s="67"/>
    </row>
    <row r="133" spans="1:5" ht="12" customHeight="1" x14ac:dyDescent="0.25">
      <c r="A133" s="134" t="s">
        <v>319</v>
      </c>
      <c r="B133" s="45" t="s">
        <v>130</v>
      </c>
      <c r="C133" s="116"/>
      <c r="D133" s="220">
        <v>0</v>
      </c>
      <c r="E133" s="67"/>
    </row>
    <row r="134" spans="1:5" ht="12" customHeight="1" x14ac:dyDescent="0.25">
      <c r="A134" s="134" t="s">
        <v>320</v>
      </c>
      <c r="B134" s="45" t="s">
        <v>135</v>
      </c>
      <c r="C134" s="116"/>
      <c r="D134" s="220">
        <v>0</v>
      </c>
      <c r="E134" s="67"/>
    </row>
    <row r="135" spans="1:5" ht="16.5" thickBot="1" x14ac:dyDescent="0.3">
      <c r="A135" s="143">
        <v>35</v>
      </c>
      <c r="B135" s="45" t="s">
        <v>134</v>
      </c>
      <c r="C135" s="118">
        <v>3050000</v>
      </c>
      <c r="D135" s="221">
        <v>3050000</v>
      </c>
      <c r="E135" s="69"/>
    </row>
    <row r="136" spans="1:5" ht="12" customHeight="1" thickBot="1" x14ac:dyDescent="0.3">
      <c r="A136" s="18">
        <v>36</v>
      </c>
      <c r="B136" s="39" t="s">
        <v>371</v>
      </c>
      <c r="C136" s="115">
        <f>+C101+C122</f>
        <v>2241599119</v>
      </c>
      <c r="D136" s="222">
        <v>2269251466</v>
      </c>
      <c r="E136" s="66">
        <f>E122+E101</f>
        <v>795331429</v>
      </c>
    </row>
    <row r="137" spans="1:5" ht="12" customHeight="1" thickBot="1" x14ac:dyDescent="0.3">
      <c r="A137" s="18">
        <v>37</v>
      </c>
      <c r="B137" s="39" t="s">
        <v>390</v>
      </c>
      <c r="C137" s="115">
        <f>+C138+C139+C140</f>
        <v>0</v>
      </c>
      <c r="D137" s="222">
        <v>0</v>
      </c>
      <c r="E137" s="66">
        <f>SUM(E138:E140)</f>
        <v>0</v>
      </c>
    </row>
    <row r="138" spans="1:5" ht="12" customHeight="1" x14ac:dyDescent="0.25">
      <c r="A138" s="134">
        <v>38</v>
      </c>
      <c r="B138" s="10" t="s">
        <v>178</v>
      </c>
      <c r="C138" s="116"/>
      <c r="D138" s="220">
        <v>0</v>
      </c>
      <c r="E138" s="67"/>
    </row>
    <row r="139" spans="1:5" ht="12" customHeight="1" x14ac:dyDescent="0.25">
      <c r="A139" s="134" t="s">
        <v>325</v>
      </c>
      <c r="B139" s="10" t="s">
        <v>179</v>
      </c>
      <c r="C139" s="116"/>
      <c r="D139" s="220">
        <v>0</v>
      </c>
      <c r="E139" s="67"/>
    </row>
    <row r="140" spans="1:5" ht="12" customHeight="1" thickBot="1" x14ac:dyDescent="0.3">
      <c r="A140" s="143" t="s">
        <v>326</v>
      </c>
      <c r="B140" s="10" t="s">
        <v>180</v>
      </c>
      <c r="C140" s="116"/>
      <c r="D140" s="220">
        <v>0</v>
      </c>
      <c r="E140" s="67"/>
    </row>
    <row r="141" spans="1:5" ht="12" customHeight="1" thickBot="1" x14ac:dyDescent="0.3">
      <c r="A141" s="18">
        <v>41</v>
      </c>
      <c r="B141" s="39" t="s">
        <v>391</v>
      </c>
      <c r="C141" s="115">
        <f>SUM(C142:C147)</f>
        <v>0</v>
      </c>
      <c r="D141" s="222">
        <v>0</v>
      </c>
      <c r="E141" s="66">
        <f>SUM(E142:E147)</f>
        <v>0</v>
      </c>
    </row>
    <row r="142" spans="1:5" ht="12" customHeight="1" x14ac:dyDescent="0.25">
      <c r="A142" s="134">
        <v>42</v>
      </c>
      <c r="B142" s="7" t="s">
        <v>181</v>
      </c>
      <c r="C142" s="116"/>
      <c r="D142" s="220">
        <v>0</v>
      </c>
      <c r="E142" s="67"/>
    </row>
    <row r="143" spans="1:5" ht="12" customHeight="1" x14ac:dyDescent="0.25">
      <c r="A143" s="134">
        <v>43</v>
      </c>
      <c r="B143" s="7" t="s">
        <v>173</v>
      </c>
      <c r="C143" s="116"/>
      <c r="D143" s="220">
        <v>0</v>
      </c>
      <c r="E143" s="67"/>
    </row>
    <row r="144" spans="1:5" ht="12" customHeight="1" x14ac:dyDescent="0.25">
      <c r="A144" s="134" t="s">
        <v>329</v>
      </c>
      <c r="B144" s="7" t="s">
        <v>174</v>
      </c>
      <c r="C144" s="116"/>
      <c r="D144" s="220">
        <v>0</v>
      </c>
      <c r="E144" s="67"/>
    </row>
    <row r="145" spans="1:5" ht="12" customHeight="1" x14ac:dyDescent="0.25">
      <c r="A145" s="134" t="s">
        <v>330</v>
      </c>
      <c r="B145" s="7" t="s">
        <v>175</v>
      </c>
      <c r="C145" s="116"/>
      <c r="D145" s="220">
        <v>0</v>
      </c>
      <c r="E145" s="67"/>
    </row>
    <row r="146" spans="1:5" ht="12" customHeight="1" x14ac:dyDescent="0.25">
      <c r="A146" s="134" t="s">
        <v>331</v>
      </c>
      <c r="B146" s="7" t="s">
        <v>176</v>
      </c>
      <c r="C146" s="118"/>
      <c r="D146" s="220">
        <v>0</v>
      </c>
      <c r="E146" s="67"/>
    </row>
    <row r="147" spans="1:5" ht="12" customHeight="1" thickBot="1" x14ac:dyDescent="0.3">
      <c r="A147" s="144">
        <v>47</v>
      </c>
      <c r="B147" s="250" t="s">
        <v>177</v>
      </c>
      <c r="C147" s="169"/>
      <c r="D147" s="371">
        <v>0</v>
      </c>
      <c r="E147" s="163"/>
    </row>
    <row r="148" spans="1:5" ht="12" customHeight="1" thickBot="1" x14ac:dyDescent="0.3">
      <c r="A148" s="18">
        <v>48</v>
      </c>
      <c r="B148" s="39" t="s">
        <v>392</v>
      </c>
      <c r="C148" s="121">
        <f>C149+C150+C151+C152+C153</f>
        <v>28820112</v>
      </c>
      <c r="D148" s="223">
        <v>28820112</v>
      </c>
      <c r="E148" s="146">
        <f>SUM(E149:E152)</f>
        <v>28820512</v>
      </c>
    </row>
    <row r="149" spans="1:5" ht="12" customHeight="1" x14ac:dyDescent="0.25">
      <c r="A149" s="134">
        <v>49</v>
      </c>
      <c r="B149" s="7" t="s">
        <v>139</v>
      </c>
      <c r="C149" s="116"/>
      <c r="D149" s="220">
        <v>0</v>
      </c>
      <c r="E149" s="67"/>
    </row>
    <row r="150" spans="1:5" ht="12" customHeight="1" x14ac:dyDescent="0.25">
      <c r="A150" s="134" t="s">
        <v>334</v>
      </c>
      <c r="B150" s="7" t="s">
        <v>140</v>
      </c>
      <c r="C150" s="116">
        <v>28499482</v>
      </c>
      <c r="D150" s="220">
        <v>28499482</v>
      </c>
      <c r="E150" s="67">
        <v>28499882</v>
      </c>
    </row>
    <row r="151" spans="1:5" ht="12" customHeight="1" x14ac:dyDescent="0.25">
      <c r="A151" s="134" t="s">
        <v>335</v>
      </c>
      <c r="B151" s="7" t="s">
        <v>184</v>
      </c>
      <c r="C151" s="118"/>
      <c r="D151" s="220">
        <v>0</v>
      </c>
      <c r="E151" s="67"/>
    </row>
    <row r="152" spans="1:5" ht="12" customHeight="1" thickBot="1" x14ac:dyDescent="0.3">
      <c r="A152" s="143">
        <v>52</v>
      </c>
      <c r="B152" s="5" t="s">
        <v>153</v>
      </c>
      <c r="C152" s="169">
        <v>320630</v>
      </c>
      <c r="D152" s="220">
        <v>320630</v>
      </c>
      <c r="E152" s="67">
        <v>320630</v>
      </c>
    </row>
    <row r="153" spans="1:5" ht="12" customHeight="1" thickBot="1" x14ac:dyDescent="0.3">
      <c r="A153" s="18">
        <v>53</v>
      </c>
      <c r="B153" s="39" t="s">
        <v>393</v>
      </c>
      <c r="C153" s="171">
        <f>SUM(C154:C158)</f>
        <v>0</v>
      </c>
      <c r="D153" s="224">
        <v>0</v>
      </c>
      <c r="E153" s="165">
        <f>SUM(E154:E158)</f>
        <v>0</v>
      </c>
    </row>
    <row r="154" spans="1:5" ht="12" customHeight="1" x14ac:dyDescent="0.25">
      <c r="A154" s="134">
        <v>54</v>
      </c>
      <c r="B154" s="7" t="s">
        <v>182</v>
      </c>
      <c r="C154" s="116"/>
      <c r="D154" s="220">
        <v>0</v>
      </c>
      <c r="E154" s="67"/>
    </row>
    <row r="155" spans="1:5" ht="12" customHeight="1" x14ac:dyDescent="0.25">
      <c r="A155" s="134">
        <v>55</v>
      </c>
      <c r="B155" s="7" t="s">
        <v>185</v>
      </c>
      <c r="C155" s="116"/>
      <c r="D155" s="220">
        <v>0</v>
      </c>
      <c r="E155" s="67"/>
    </row>
    <row r="156" spans="1:5" ht="12" customHeight="1" x14ac:dyDescent="0.25">
      <c r="A156" s="134" t="s">
        <v>339</v>
      </c>
      <c r="B156" s="7" t="s">
        <v>183</v>
      </c>
      <c r="C156" s="116"/>
      <c r="D156" s="220">
        <v>0</v>
      </c>
      <c r="E156" s="67"/>
    </row>
    <row r="157" spans="1:5" ht="12" customHeight="1" x14ac:dyDescent="0.25">
      <c r="A157" s="134" t="s">
        <v>340</v>
      </c>
      <c r="B157" s="7" t="s">
        <v>198</v>
      </c>
      <c r="C157" s="116"/>
      <c r="D157" s="220">
        <v>0</v>
      </c>
      <c r="E157" s="67"/>
    </row>
    <row r="158" spans="1:5" ht="12" customHeight="1" thickBot="1" x14ac:dyDescent="0.3">
      <c r="A158" s="134" t="s">
        <v>341</v>
      </c>
      <c r="B158" s="7" t="s">
        <v>186</v>
      </c>
      <c r="C158" s="116"/>
      <c r="D158" s="220">
        <v>0</v>
      </c>
      <c r="E158" s="67"/>
    </row>
    <row r="159" spans="1:5" ht="12" customHeight="1" thickBot="1" x14ac:dyDescent="0.3">
      <c r="A159" s="18">
        <v>59</v>
      </c>
      <c r="B159" s="39" t="s">
        <v>187</v>
      </c>
      <c r="C159" s="172"/>
      <c r="D159" s="225">
        <v>0</v>
      </c>
      <c r="E159" s="166"/>
    </row>
    <row r="160" spans="1:5" ht="12" customHeight="1" thickBot="1" x14ac:dyDescent="0.3">
      <c r="A160" s="18">
        <v>60</v>
      </c>
      <c r="B160" s="39" t="s">
        <v>188</v>
      </c>
      <c r="C160" s="172"/>
      <c r="D160" s="225">
        <v>0</v>
      </c>
      <c r="E160" s="166"/>
    </row>
    <row r="161" spans="1:9" ht="15.2" customHeight="1" thickBot="1" x14ac:dyDescent="0.3">
      <c r="A161" s="18">
        <v>61</v>
      </c>
      <c r="B161" s="39" t="s">
        <v>372</v>
      </c>
      <c r="C161" s="385">
        <f>+C137+C141+C148+C153+C159+C160</f>
        <v>28820112</v>
      </c>
      <c r="D161" s="226">
        <v>28820112</v>
      </c>
      <c r="E161" s="167">
        <f>E160+E159+E153+E148+E141+E137</f>
        <v>28820512</v>
      </c>
      <c r="F161" s="132"/>
      <c r="G161" s="133"/>
      <c r="H161" s="133"/>
      <c r="I161" s="133"/>
    </row>
    <row r="162" spans="1:9" s="126" customFormat="1" ht="12.95" customHeight="1" thickBot="1" x14ac:dyDescent="0.25">
      <c r="A162" s="145">
        <v>62</v>
      </c>
      <c r="B162" s="105" t="s">
        <v>394</v>
      </c>
      <c r="C162" s="385">
        <f>+C136+C161</f>
        <v>2270419231</v>
      </c>
      <c r="D162" s="226">
        <v>2298071578</v>
      </c>
      <c r="E162" s="167">
        <f>E161+E136</f>
        <v>824151941</v>
      </c>
    </row>
    <row r="163" spans="1:9" x14ac:dyDescent="0.25">
      <c r="C163" s="227">
        <f>C94-C162</f>
        <v>0</v>
      </c>
      <c r="D163" s="227">
        <f>D94-D162</f>
        <v>0</v>
      </c>
      <c r="E163" s="227">
        <f>E94-E162</f>
        <v>764256993</v>
      </c>
    </row>
    <row r="164" spans="1:9" x14ac:dyDescent="0.25">
      <c r="A164" s="526" t="s">
        <v>141</v>
      </c>
      <c r="B164" s="526"/>
      <c r="C164" s="526"/>
      <c r="D164" s="526"/>
      <c r="E164" s="526"/>
    </row>
    <row r="165" spans="1:9" ht="15.2" customHeight="1" thickBot="1" x14ac:dyDescent="0.3">
      <c r="A165" s="527"/>
      <c r="B165" s="527"/>
      <c r="C165" s="78"/>
      <c r="E165" s="78" t="str">
        <f>E97</f>
        <v xml:space="preserve"> Forintban!</v>
      </c>
    </row>
    <row r="166" spans="1:9" ht="25.5" customHeight="1" thickBot="1" x14ac:dyDescent="0.3">
      <c r="A166" s="18">
        <v>1</v>
      </c>
      <c r="B166" s="16" t="s">
        <v>377</v>
      </c>
      <c r="C166" s="228">
        <f>+C69-C136</f>
        <v>-755376723</v>
      </c>
      <c r="D166" s="115">
        <f>+D69-D136</f>
        <v>-755376723</v>
      </c>
      <c r="E166" s="66">
        <f>+E69-E136</f>
        <v>8880670</v>
      </c>
    </row>
    <row r="167" spans="1:9" ht="32.450000000000003" customHeight="1" thickBot="1" x14ac:dyDescent="0.3">
      <c r="A167" s="18">
        <v>2</v>
      </c>
      <c r="B167" s="16" t="s">
        <v>448</v>
      </c>
      <c r="C167" s="115">
        <f>+C93-C161</f>
        <v>755376723</v>
      </c>
      <c r="D167" s="115">
        <f>+D93-D161</f>
        <v>755376723</v>
      </c>
      <c r="E167" s="66">
        <f>+E93-E161</f>
        <v>755376323</v>
      </c>
    </row>
  </sheetData>
  <mergeCells count="16">
    <mergeCell ref="B1:E1"/>
    <mergeCell ref="A2:E2"/>
    <mergeCell ref="A3:E3"/>
    <mergeCell ref="A4:E4"/>
    <mergeCell ref="A6:E6"/>
    <mergeCell ref="A7:B7"/>
    <mergeCell ref="A164:E164"/>
    <mergeCell ref="A165:B165"/>
    <mergeCell ref="A8:A9"/>
    <mergeCell ref="B8:B9"/>
    <mergeCell ref="C8:E8"/>
    <mergeCell ref="A96:E96"/>
    <mergeCell ref="A97:B97"/>
    <mergeCell ref="A98:A99"/>
    <mergeCell ref="B98:B99"/>
    <mergeCell ref="C98:E98"/>
  </mergeCells>
  <printOptions horizontalCentered="1"/>
  <pageMargins left="0.6692913385826772" right="0.6692913385826772" top="0.86614173228346458" bottom="0.86614173228346458" header="0" footer="0"/>
  <pageSetup paperSize="9" scale="72" fitToHeight="2" orientation="portrait" r:id="rId1"/>
  <headerFooter alignWithMargins="0"/>
  <rowBreaks count="2" manualBreakCount="2">
    <brk id="69" max="4" man="1"/>
    <brk id="147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8">
    <tabColor theme="8"/>
  </sheetPr>
  <dimension ref="A1:J33"/>
  <sheetViews>
    <sheetView zoomScale="120" zoomScaleNormal="120" zoomScaleSheetLayoutView="130" workbookViewId="0">
      <selection activeCell="L22" sqref="L22"/>
    </sheetView>
  </sheetViews>
  <sheetFormatPr defaultRowHeight="12.75" x14ac:dyDescent="0.2"/>
  <cols>
    <col min="1" max="1" width="6.83203125" style="20" customWidth="1"/>
    <col min="2" max="2" width="48" style="21" customWidth="1"/>
    <col min="3" max="5" width="15.5" style="20" customWidth="1"/>
    <col min="6" max="6" width="55.1640625" style="20" customWidth="1"/>
    <col min="7" max="9" width="15.5" style="20" customWidth="1"/>
    <col min="10" max="10" width="4.83203125" style="20" customWidth="1"/>
    <col min="11" max="16384" width="9.33203125" style="20"/>
  </cols>
  <sheetData>
    <row r="1" spans="1:10" ht="39.75" customHeight="1" x14ac:dyDescent="0.2">
      <c r="A1" s="193"/>
      <c r="B1" s="229" t="s">
        <v>51</v>
      </c>
      <c r="C1" s="251"/>
      <c r="D1" s="251"/>
      <c r="E1" s="251"/>
      <c r="F1" s="251"/>
      <c r="G1" s="251"/>
      <c r="H1" s="251"/>
      <c r="I1" s="251"/>
      <c r="J1" s="543" t="str">
        <f>CONCATENATE("2. melléklet ",IB_ALAPADATOK!A7," ",IB_ALAPADATOK!B7," ",IB_ALAPADATOK!C7," ",IB_ALAPADATOK!D7)</f>
        <v>2. melléklet a 2024. I. félévi költségvetési tájékoztatóhoz</v>
      </c>
    </row>
    <row r="2" spans="1:10" ht="14.25" thickBot="1" x14ac:dyDescent="0.25">
      <c r="A2" s="193"/>
      <c r="B2" s="196"/>
      <c r="C2" s="193"/>
      <c r="D2" s="193"/>
      <c r="E2" s="193"/>
      <c r="F2" s="193"/>
      <c r="G2" s="252"/>
      <c r="H2" s="252"/>
      <c r="I2" s="252" t="e">
        <f>CONCATENATE(#REF!)</f>
        <v>#REF!</v>
      </c>
      <c r="J2" s="543"/>
    </row>
    <row r="3" spans="1:10" ht="18" customHeight="1" thickBot="1" x14ac:dyDescent="0.25">
      <c r="A3" s="544" t="s">
        <v>44</v>
      </c>
      <c r="B3" s="253" t="s">
        <v>33</v>
      </c>
      <c r="C3" s="254"/>
      <c r="D3" s="255"/>
      <c r="E3" s="255"/>
      <c r="F3" s="253" t="s">
        <v>34</v>
      </c>
      <c r="G3" s="256"/>
      <c r="H3" s="257"/>
      <c r="I3" s="258"/>
      <c r="J3" s="543"/>
    </row>
    <row r="4" spans="1:10" s="22" customFormat="1" ht="35.25" customHeight="1" thickBot="1" x14ac:dyDescent="0.25">
      <c r="A4" s="545"/>
      <c r="B4" s="198" t="s">
        <v>37</v>
      </c>
      <c r="C4" s="49" t="str">
        <f>CONCATENATE(IB_TARTALOMJEGYZÉK!A1,". évi eredeti előirányzat")</f>
        <v>2024. évi eredeti előirányzat</v>
      </c>
      <c r="D4" s="304" t="str">
        <f>+CONCATENATE(IB_1.1.sz.mell.!C8," módosított előirányzat")</f>
        <v>2024. évi módosított előirányzat</v>
      </c>
      <c r="E4" s="259" t="str">
        <f>+CONCATENATE(IB_ALAPADATOK!B7,IB_ALAPADATOK!C9," teljesítés")</f>
        <v>2024. VI. 30. teljesítés</v>
      </c>
      <c r="F4" s="198" t="s">
        <v>37</v>
      </c>
      <c r="G4" s="199" t="str">
        <f>+C4</f>
        <v>2024. évi eredeti előirányzat</v>
      </c>
      <c r="H4" s="199" t="str">
        <f>+D4</f>
        <v>2024. évi módosított előirányzat</v>
      </c>
      <c r="I4" s="260" t="str">
        <f>+E4</f>
        <v>2024. VI. 30. teljesítés</v>
      </c>
      <c r="J4" s="543"/>
    </row>
    <row r="5" spans="1:10" s="87" customFormat="1" ht="12" customHeight="1" thickBot="1" x14ac:dyDescent="0.25">
      <c r="A5" s="261" t="s">
        <v>190</v>
      </c>
      <c r="B5" s="262" t="s">
        <v>191</v>
      </c>
      <c r="C5" s="86" t="s">
        <v>192</v>
      </c>
      <c r="D5" s="86" t="s">
        <v>194</v>
      </c>
      <c r="E5" s="264" t="s">
        <v>193</v>
      </c>
      <c r="F5" s="262" t="s">
        <v>261</v>
      </c>
      <c r="G5" s="263" t="s">
        <v>196</v>
      </c>
      <c r="H5" s="263" t="s">
        <v>197</v>
      </c>
      <c r="I5" s="265" t="s">
        <v>259</v>
      </c>
      <c r="J5" s="543"/>
    </row>
    <row r="6" spans="1:10" ht="12.95" customHeight="1" x14ac:dyDescent="0.2">
      <c r="A6" s="88">
        <v>1</v>
      </c>
      <c r="B6" s="89" t="s">
        <v>142</v>
      </c>
      <c r="C6" s="79">
        <v>977149334</v>
      </c>
      <c r="D6" s="79">
        <v>1012703032</v>
      </c>
      <c r="E6" s="79">
        <v>566625017</v>
      </c>
      <c r="F6" s="89" t="s">
        <v>38</v>
      </c>
      <c r="G6" s="235">
        <v>236589545</v>
      </c>
      <c r="H6" s="393">
        <v>251784984</v>
      </c>
      <c r="I6" s="266">
        <v>115879227</v>
      </c>
      <c r="J6" s="543"/>
    </row>
    <row r="7" spans="1:10" ht="12.95" customHeight="1" x14ac:dyDescent="0.2">
      <c r="A7" s="90">
        <v>2</v>
      </c>
      <c r="B7" s="91" t="s">
        <v>433</v>
      </c>
      <c r="C7" s="80"/>
      <c r="D7" s="80">
        <v>0</v>
      </c>
      <c r="E7" s="80"/>
      <c r="F7" s="91" t="s">
        <v>56</v>
      </c>
      <c r="G7" s="80">
        <v>31349206</v>
      </c>
      <c r="H7" s="393">
        <v>33307153</v>
      </c>
      <c r="I7" s="267">
        <v>15344552</v>
      </c>
      <c r="J7" s="543"/>
    </row>
    <row r="8" spans="1:10" ht="12.95" customHeight="1" x14ac:dyDescent="0.2">
      <c r="A8" s="90" t="s">
        <v>294</v>
      </c>
      <c r="B8" s="91" t="s">
        <v>55</v>
      </c>
      <c r="C8" s="80">
        <v>435000000</v>
      </c>
      <c r="D8" s="80">
        <v>435000000</v>
      </c>
      <c r="E8" s="80">
        <v>210536735</v>
      </c>
      <c r="F8" s="91" t="s">
        <v>69</v>
      </c>
      <c r="G8" s="80">
        <v>229341717</v>
      </c>
      <c r="H8" s="393">
        <v>236113274</v>
      </c>
      <c r="I8" s="267">
        <v>103022741</v>
      </c>
      <c r="J8" s="543"/>
    </row>
    <row r="9" spans="1:10" ht="12.95" customHeight="1" x14ac:dyDescent="0.2">
      <c r="A9" s="90" t="s">
        <v>295</v>
      </c>
      <c r="B9" s="91" t="s">
        <v>162</v>
      </c>
      <c r="C9" s="80">
        <v>40911682</v>
      </c>
      <c r="D9" s="80">
        <v>41853262</v>
      </c>
      <c r="E9" s="80">
        <v>20652867</v>
      </c>
      <c r="F9" s="91" t="s">
        <v>57</v>
      </c>
      <c r="G9" s="80">
        <v>15710000</v>
      </c>
      <c r="H9" s="393">
        <v>15710000</v>
      </c>
      <c r="I9" s="267">
        <v>6921288</v>
      </c>
      <c r="J9" s="543"/>
    </row>
    <row r="10" spans="1:10" ht="12.95" customHeight="1" x14ac:dyDescent="0.2">
      <c r="A10" s="90" t="s">
        <v>296</v>
      </c>
      <c r="B10" s="92" t="s">
        <v>143</v>
      </c>
      <c r="C10" s="80"/>
      <c r="D10" s="80">
        <v>0</v>
      </c>
      <c r="E10" s="80">
        <v>172480</v>
      </c>
      <c r="F10" s="91" t="s">
        <v>58</v>
      </c>
      <c r="G10" s="80">
        <v>1074584771</v>
      </c>
      <c r="H10" s="393">
        <v>1072887321</v>
      </c>
      <c r="I10" s="267">
        <v>531434768</v>
      </c>
      <c r="J10" s="543"/>
    </row>
    <row r="11" spans="1:10" ht="12.95" customHeight="1" x14ac:dyDescent="0.2">
      <c r="A11" s="90" t="s">
        <v>297</v>
      </c>
      <c r="B11" s="91" t="s">
        <v>434</v>
      </c>
      <c r="C11" s="80"/>
      <c r="D11" s="81">
        <v>0</v>
      </c>
      <c r="E11" s="81"/>
      <c r="F11" s="91">
        <v>0</v>
      </c>
      <c r="G11" s="80"/>
      <c r="H11" s="393">
        <v>0</v>
      </c>
      <c r="I11" s="267"/>
      <c r="J11" s="543"/>
    </row>
    <row r="12" spans="1:10" ht="12.95" customHeight="1" x14ac:dyDescent="0.2">
      <c r="A12" s="90" t="s">
        <v>298</v>
      </c>
      <c r="B12" s="91" t="s">
        <v>102</v>
      </c>
      <c r="C12" s="80"/>
      <c r="D12" s="80">
        <v>0</v>
      </c>
      <c r="E12" s="81"/>
      <c r="F12" s="23">
        <v>0</v>
      </c>
      <c r="G12" s="80"/>
      <c r="H12" s="393">
        <v>0</v>
      </c>
      <c r="I12" s="267"/>
      <c r="J12" s="543"/>
    </row>
    <row r="13" spans="1:10" ht="12.95" customHeight="1" x14ac:dyDescent="0.2">
      <c r="A13" s="90" t="s">
        <v>314</v>
      </c>
      <c r="B13" s="294">
        <v>0</v>
      </c>
      <c r="C13" s="80"/>
      <c r="D13" s="80">
        <v>0</v>
      </c>
      <c r="E13" s="81"/>
      <c r="F13" s="23">
        <v>0</v>
      </c>
      <c r="G13" s="80"/>
      <c r="H13" s="393">
        <v>0</v>
      </c>
      <c r="I13" s="267"/>
      <c r="J13" s="543"/>
    </row>
    <row r="14" spans="1:10" ht="12.95" customHeight="1" x14ac:dyDescent="0.2">
      <c r="A14" s="90" t="s">
        <v>292</v>
      </c>
      <c r="B14" s="294">
        <v>0</v>
      </c>
      <c r="C14" s="80"/>
      <c r="D14" s="81">
        <v>0</v>
      </c>
      <c r="E14" s="81"/>
      <c r="F14" s="23" t="s">
        <v>416</v>
      </c>
      <c r="G14" s="80">
        <v>58828961</v>
      </c>
      <c r="H14" s="393">
        <v>27528567</v>
      </c>
      <c r="I14" s="267"/>
      <c r="J14" s="543"/>
    </row>
    <row r="15" spans="1:10" ht="12.95" customHeight="1" x14ac:dyDescent="0.2">
      <c r="A15" s="90" t="s">
        <v>234</v>
      </c>
      <c r="B15" s="294">
        <v>0</v>
      </c>
      <c r="C15" s="80"/>
      <c r="D15" s="80">
        <v>0</v>
      </c>
      <c r="E15" s="81"/>
      <c r="F15" s="23">
        <v>0</v>
      </c>
      <c r="G15" s="80"/>
      <c r="H15" s="393">
        <v>0</v>
      </c>
      <c r="I15" s="267"/>
      <c r="J15" s="543"/>
    </row>
    <row r="16" spans="1:10" ht="12.95" customHeight="1" x14ac:dyDescent="0.2">
      <c r="A16" s="90" t="s">
        <v>235</v>
      </c>
      <c r="B16" s="294">
        <v>0</v>
      </c>
      <c r="C16" s="80"/>
      <c r="D16" s="80">
        <v>0</v>
      </c>
      <c r="E16" s="81"/>
      <c r="F16" s="23">
        <v>0</v>
      </c>
      <c r="G16" s="80"/>
      <c r="H16" s="393">
        <v>0</v>
      </c>
      <c r="I16" s="267"/>
      <c r="J16" s="543"/>
    </row>
    <row r="17" spans="1:10" ht="12.95" customHeight="1" thickBot="1" x14ac:dyDescent="0.25">
      <c r="A17" s="90" t="s">
        <v>236</v>
      </c>
      <c r="B17" s="294">
        <v>0</v>
      </c>
      <c r="C17" s="80"/>
      <c r="D17" s="82">
        <v>0</v>
      </c>
      <c r="E17" s="314"/>
      <c r="F17" s="315">
        <v>0</v>
      </c>
      <c r="G17" s="82"/>
      <c r="H17" s="393">
        <v>0</v>
      </c>
      <c r="I17" s="268"/>
      <c r="J17" s="543"/>
    </row>
    <row r="18" spans="1:10" ht="12" customHeight="1" thickBot="1" x14ac:dyDescent="0.25">
      <c r="A18" s="93" t="s">
        <v>299</v>
      </c>
      <c r="B18" s="40" t="s">
        <v>417</v>
      </c>
      <c r="C18" s="292">
        <f>+C6+C8+C9+C10+C12+C13+C14+C15+C16+C17</f>
        <v>1453061016</v>
      </c>
      <c r="D18" s="83">
        <v>1489556294</v>
      </c>
      <c r="E18" s="83">
        <f>E6+E8+E9+E10+E12+E13+E14+E15+E16+E17</f>
        <v>797987099</v>
      </c>
      <c r="F18" s="40" t="s">
        <v>421</v>
      </c>
      <c r="G18" s="83">
        <f>G6+G7+G8+G9+G10+G11+G12+G13+G15+G16+G17</f>
        <v>1587575239</v>
      </c>
      <c r="H18" s="101">
        <v>1609802732</v>
      </c>
      <c r="I18" s="99">
        <f>I6+I7+I8+I9+I10+I11+I12+I13+I15+I16+I17</f>
        <v>772602576</v>
      </c>
      <c r="J18" s="543"/>
    </row>
    <row r="19" spans="1:10" ht="12.95" customHeight="1" x14ac:dyDescent="0.2">
      <c r="A19" s="230" t="s">
        <v>300</v>
      </c>
      <c r="B19" s="307" t="s">
        <v>144</v>
      </c>
      <c r="C19" s="392">
        <f>SUM(C20:C23)</f>
        <v>208996835</v>
      </c>
      <c r="D19" s="159">
        <v>208996835</v>
      </c>
      <c r="E19" s="159">
        <f>SUM(E20:E23)</f>
        <v>208996835</v>
      </c>
      <c r="F19" s="311" t="s">
        <v>60</v>
      </c>
      <c r="G19" s="84"/>
      <c r="H19" s="394">
        <v>0</v>
      </c>
      <c r="I19" s="269"/>
      <c r="J19" s="543"/>
    </row>
    <row r="20" spans="1:10" ht="12.95" customHeight="1" x14ac:dyDescent="0.2">
      <c r="A20" s="231" t="s">
        <v>315</v>
      </c>
      <c r="B20" s="317" t="s">
        <v>428</v>
      </c>
      <c r="C20" s="80">
        <v>208996835</v>
      </c>
      <c r="D20" s="30">
        <v>208996835</v>
      </c>
      <c r="E20" s="30">
        <v>208996835</v>
      </c>
      <c r="F20" s="311" t="s">
        <v>145</v>
      </c>
      <c r="G20" s="30"/>
      <c r="H20" s="395">
        <v>0</v>
      </c>
      <c r="I20" s="270"/>
      <c r="J20" s="543"/>
    </row>
    <row r="21" spans="1:10" ht="12.95" customHeight="1" x14ac:dyDescent="0.2">
      <c r="A21" s="231" t="s">
        <v>301</v>
      </c>
      <c r="B21" s="318" t="s">
        <v>429</v>
      </c>
      <c r="C21" s="80"/>
      <c r="D21" s="30"/>
      <c r="E21" s="30"/>
      <c r="F21" s="311" t="s">
        <v>49</v>
      </c>
      <c r="G21" s="30"/>
      <c r="H21" s="395">
        <v>0</v>
      </c>
      <c r="I21" s="270"/>
      <c r="J21" s="543"/>
    </row>
    <row r="22" spans="1:10" ht="12.95" customHeight="1" x14ac:dyDescent="0.2">
      <c r="A22" s="231" t="s">
        <v>302</v>
      </c>
      <c r="B22" s="318" t="s">
        <v>430</v>
      </c>
      <c r="C22" s="30"/>
      <c r="D22" s="30"/>
      <c r="E22" s="30"/>
      <c r="F22" s="311" t="s">
        <v>50</v>
      </c>
      <c r="G22" s="30"/>
      <c r="H22" s="395">
        <v>0</v>
      </c>
      <c r="I22" s="270"/>
      <c r="J22" s="543"/>
    </row>
    <row r="23" spans="1:10" ht="12.95" customHeight="1" x14ac:dyDescent="0.2">
      <c r="A23" s="231" t="s">
        <v>303</v>
      </c>
      <c r="B23" s="318" t="s">
        <v>74</v>
      </c>
      <c r="C23" s="30"/>
      <c r="D23" s="30"/>
      <c r="E23" s="30"/>
      <c r="F23" s="307" t="s">
        <v>70</v>
      </c>
      <c r="G23" s="30"/>
      <c r="H23" s="395">
        <v>0</v>
      </c>
      <c r="I23" s="270"/>
      <c r="J23" s="543"/>
    </row>
    <row r="24" spans="1:10" ht="12.95" customHeight="1" x14ac:dyDescent="0.2">
      <c r="A24" s="231" t="s">
        <v>304</v>
      </c>
      <c r="B24" s="311" t="s">
        <v>418</v>
      </c>
      <c r="C24" s="94">
        <f>SUM(C25:C26)</f>
        <v>0</v>
      </c>
      <c r="D24" s="94">
        <f>SUM(D25:D26)</f>
        <v>0</v>
      </c>
      <c r="E24" s="94">
        <f>SUM(E25:E26)</f>
        <v>0</v>
      </c>
      <c r="F24" s="308" t="s">
        <v>61</v>
      </c>
      <c r="G24" s="30"/>
      <c r="H24" s="395">
        <v>0</v>
      </c>
      <c r="I24" s="270"/>
      <c r="J24" s="543"/>
    </row>
    <row r="25" spans="1:10" ht="12.95" customHeight="1" x14ac:dyDescent="0.2">
      <c r="A25" s="230" t="s">
        <v>305</v>
      </c>
      <c r="B25" s="319" t="s">
        <v>78</v>
      </c>
      <c r="C25" s="84"/>
      <c r="D25" s="84"/>
      <c r="E25" s="84"/>
      <c r="F25" s="89" t="s">
        <v>184</v>
      </c>
      <c r="G25" s="84"/>
      <c r="H25" s="394">
        <v>0</v>
      </c>
      <c r="I25" s="269"/>
      <c r="J25" s="543"/>
    </row>
    <row r="26" spans="1:10" ht="12.95" customHeight="1" x14ac:dyDescent="0.2">
      <c r="A26" s="231" t="s">
        <v>306</v>
      </c>
      <c r="B26" s="317" t="s">
        <v>118</v>
      </c>
      <c r="C26" s="30"/>
      <c r="D26" s="30"/>
      <c r="E26" s="30"/>
      <c r="F26" s="89" t="s">
        <v>119</v>
      </c>
      <c r="G26" s="80">
        <v>28499482</v>
      </c>
      <c r="H26" s="395">
        <v>28499482</v>
      </c>
      <c r="I26" s="270">
        <v>28499882</v>
      </c>
      <c r="J26" s="543"/>
    </row>
    <row r="27" spans="1:10" ht="12.95" customHeight="1" x14ac:dyDescent="0.2">
      <c r="A27" s="90" t="s">
        <v>316</v>
      </c>
      <c r="B27" s="318" t="s">
        <v>189</v>
      </c>
      <c r="C27" s="30"/>
      <c r="D27" s="30"/>
      <c r="E27" s="30"/>
      <c r="F27" s="89" t="s">
        <v>187</v>
      </c>
      <c r="G27" s="30"/>
      <c r="H27" s="30"/>
      <c r="I27" s="270"/>
      <c r="J27" s="543"/>
    </row>
    <row r="28" spans="1:10" ht="12.95" customHeight="1" thickBot="1" x14ac:dyDescent="0.25">
      <c r="A28" s="111" t="s">
        <v>307</v>
      </c>
      <c r="B28" s="319" t="s">
        <v>124</v>
      </c>
      <c r="C28" s="84"/>
      <c r="D28" s="84"/>
      <c r="E28" s="313"/>
      <c r="F28" s="320" t="s">
        <v>188</v>
      </c>
      <c r="G28" s="84"/>
      <c r="H28" s="84"/>
      <c r="I28" s="269"/>
      <c r="J28" s="543"/>
    </row>
    <row r="29" spans="1:10" ht="21" customHeight="1" thickBot="1" x14ac:dyDescent="0.25">
      <c r="A29" s="93" t="s">
        <v>308</v>
      </c>
      <c r="B29" s="40" t="s">
        <v>419</v>
      </c>
      <c r="C29" s="83">
        <f>C28+C27+C24+C19</f>
        <v>208996835</v>
      </c>
      <c r="D29" s="83">
        <f>D28+D27+D24+D19</f>
        <v>208996835</v>
      </c>
      <c r="E29" s="232">
        <f>E28+E27+E24+E19</f>
        <v>208996835</v>
      </c>
      <c r="F29" s="40" t="s">
        <v>422</v>
      </c>
      <c r="G29" s="83">
        <f>SUM(G19:G28)</f>
        <v>28499482</v>
      </c>
      <c r="H29" s="83">
        <f>SUM(H19:H28)</f>
        <v>28499482</v>
      </c>
      <c r="I29" s="99">
        <f>SUM(I19:I28)</f>
        <v>28499882</v>
      </c>
      <c r="J29" s="543"/>
    </row>
    <row r="30" spans="1:10" ht="15" customHeight="1" thickBot="1" x14ac:dyDescent="0.25">
      <c r="A30" s="93" t="s">
        <v>309</v>
      </c>
      <c r="B30" s="95" t="s">
        <v>420</v>
      </c>
      <c r="C30" s="233">
        <f>C29+C18</f>
        <v>1662057851</v>
      </c>
      <c r="D30" s="233">
        <f>D29+D18</f>
        <v>1698553129</v>
      </c>
      <c r="E30" s="234">
        <f>E29+E18</f>
        <v>1006983934</v>
      </c>
      <c r="F30" s="95" t="s">
        <v>423</v>
      </c>
      <c r="G30" s="233">
        <f>G29+G18</f>
        <v>1616074721</v>
      </c>
      <c r="H30" s="233">
        <f>H29+H18</f>
        <v>1638302214</v>
      </c>
      <c r="I30" s="234">
        <f>I29+I18</f>
        <v>801102458</v>
      </c>
      <c r="J30" s="543"/>
    </row>
    <row r="31" spans="1:10" ht="15" customHeight="1" thickBot="1" x14ac:dyDescent="0.25">
      <c r="A31" s="93" t="s">
        <v>310</v>
      </c>
      <c r="B31" s="95" t="s">
        <v>53</v>
      </c>
      <c r="C31" s="233">
        <f>IF(C18-G18&lt;0,G18-C18,"-")</f>
        <v>134514223</v>
      </c>
      <c r="D31" s="233">
        <f>IF(D18-H18&lt;0,H18-D18,"-")</f>
        <v>120246438</v>
      </c>
      <c r="E31" s="234" t="str">
        <f>IF(E18-I18&lt;0,I18-E18,"-")</f>
        <v>-</v>
      </c>
      <c r="F31" s="95" t="s">
        <v>54</v>
      </c>
      <c r="G31" s="233" t="str">
        <f>IF(C18-G18&gt;0,C18-G18,"-")</f>
        <v>-</v>
      </c>
      <c r="H31" s="233" t="str">
        <f>IF(D18-H18&gt;0,D18-H18,"-")</f>
        <v>-</v>
      </c>
      <c r="I31" s="234">
        <f>IF(E18-I18&gt;0,E18-I18,"-")</f>
        <v>25384523</v>
      </c>
      <c r="J31" s="543"/>
    </row>
    <row r="32" spans="1:10" ht="15" customHeight="1" thickBot="1" x14ac:dyDescent="0.25">
      <c r="A32" s="93" t="s">
        <v>311</v>
      </c>
      <c r="B32" s="95" t="s">
        <v>206</v>
      </c>
      <c r="C32" s="233" t="str">
        <f>IF(C30-G30&lt;0,G30-C30,"-")</f>
        <v>-</v>
      </c>
      <c r="D32" s="233" t="str">
        <f>IF(D30-H30&lt;0,H30-D30,"-")</f>
        <v>-</v>
      </c>
      <c r="E32" s="233" t="str">
        <f>IF(E30-I30&lt;0,I30-E30,"-")</f>
        <v>-</v>
      </c>
      <c r="F32" s="95" t="s">
        <v>207</v>
      </c>
      <c r="G32" s="233">
        <f>IF(C30-G30&gt;0,C30-G30,"-")</f>
        <v>45983130</v>
      </c>
      <c r="H32" s="233">
        <f>IF(D30-H30&gt;0,D30-H30,"-")</f>
        <v>60250915</v>
      </c>
      <c r="I32" s="233">
        <f>IF(E30-I30&gt;0,E30-I30,"-")</f>
        <v>205881476</v>
      </c>
      <c r="J32" s="543"/>
    </row>
    <row r="33" spans="2:10" ht="18.75" x14ac:dyDescent="0.2">
      <c r="B33" s="546"/>
      <c r="C33" s="546"/>
      <c r="D33" s="546"/>
      <c r="E33" s="546"/>
      <c r="F33" s="546"/>
      <c r="J33" s="543"/>
    </row>
  </sheetData>
  <mergeCells count="3">
    <mergeCell ref="J1:J33"/>
    <mergeCell ref="A3:A4"/>
    <mergeCell ref="B33:F33"/>
  </mergeCells>
  <printOptions horizontalCentered="1"/>
  <pageMargins left="0.33" right="0.48" top="0.9055118110236221" bottom="0.5" header="0.6692913385826772" footer="0.28000000000000003"/>
  <pageSetup paperSize="9" scale="72" orientation="landscape" verticalDpi="300" r:id="rId1"/>
  <headerFooter alignWithMargins="0">
    <oddHeader xml:space="preserve">&amp;R&amp;"Times New Roman CE,Félkövér dőlt"&amp;11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9">
    <tabColor theme="8"/>
  </sheetPr>
  <dimension ref="A1:J34"/>
  <sheetViews>
    <sheetView zoomScale="120" zoomScaleNormal="120" zoomScaleSheetLayoutView="115" workbookViewId="0">
      <selection activeCell="E20" sqref="E20"/>
    </sheetView>
  </sheetViews>
  <sheetFormatPr defaultRowHeight="12.75" x14ac:dyDescent="0.2"/>
  <cols>
    <col min="1" max="1" width="6.83203125" style="20" customWidth="1"/>
    <col min="2" max="2" width="49.83203125" style="21" customWidth="1"/>
    <col min="3" max="5" width="15.5" style="20" customWidth="1"/>
    <col min="6" max="6" width="49.83203125" style="20" customWidth="1"/>
    <col min="7" max="9" width="15.5" style="20" customWidth="1"/>
    <col min="10" max="10" width="4.83203125" style="20" hidden="1" customWidth="1"/>
    <col min="11" max="16384" width="9.33203125" style="20"/>
  </cols>
  <sheetData>
    <row r="1" spans="1:10" ht="31.5" x14ac:dyDescent="0.2">
      <c r="A1" s="193"/>
      <c r="B1" s="229" t="s">
        <v>52</v>
      </c>
      <c r="C1" s="251"/>
      <c r="D1" s="251"/>
      <c r="E1" s="251"/>
      <c r="F1" s="251"/>
      <c r="G1" s="251"/>
      <c r="H1" s="251"/>
      <c r="I1" s="251"/>
      <c r="J1" s="543" t="str">
        <f>CONCATENATE("2.2. melléklet ",IB_ALAPADATOK!A7," ",IB_ALAPADATOK!B7," ",IB_ALAPADATOK!C7," ",IB_ALAPADATOK!D7)</f>
        <v>2.2. melléklet a 2024. I. félévi költségvetési tájékoztatóhoz</v>
      </c>
    </row>
    <row r="2" spans="1:10" ht="14.25" thickBot="1" x14ac:dyDescent="0.25">
      <c r="A2" s="193"/>
      <c r="B2" s="196"/>
      <c r="C2" s="193"/>
      <c r="D2" s="193"/>
      <c r="E2" s="193"/>
      <c r="F2" s="193"/>
      <c r="G2" s="252"/>
      <c r="H2" s="252"/>
      <c r="I2" s="252" t="e">
        <f>IB_2.1.sz.mell!I2</f>
        <v>#REF!</v>
      </c>
      <c r="J2" s="543"/>
    </row>
    <row r="3" spans="1:10" ht="13.5" customHeight="1" thickBot="1" x14ac:dyDescent="0.25">
      <c r="A3" s="544" t="s">
        <v>44</v>
      </c>
      <c r="B3" s="253" t="s">
        <v>33</v>
      </c>
      <c r="C3" s="254"/>
      <c r="D3" s="255"/>
      <c r="E3" s="255"/>
      <c r="F3" s="253" t="s">
        <v>34</v>
      </c>
      <c r="G3" s="256"/>
      <c r="H3" s="257"/>
      <c r="I3" s="258"/>
      <c r="J3" s="543"/>
    </row>
    <row r="4" spans="1:10" s="22" customFormat="1" ht="36.75" thickBot="1" x14ac:dyDescent="0.25">
      <c r="A4" s="545"/>
      <c r="B4" s="198" t="s">
        <v>37</v>
      </c>
      <c r="C4" s="49" t="str">
        <f>IB_2.1.sz.mell!C4</f>
        <v>2024. évi eredeti előirányzat</v>
      </c>
      <c r="D4" s="304" t="str">
        <f>+CONCATENATE(IB_1.1.sz.mell.!C8," módosított előirányzat")</f>
        <v>2024. évi módosított előirányzat</v>
      </c>
      <c r="E4" s="259" t="str">
        <f>+CONCATENATE(IB_ALAPADATOK!B7,IB_ALAPADATOK!C9," teljesítés")</f>
        <v>2024. VI. 30. teljesítés</v>
      </c>
      <c r="F4" s="198" t="s">
        <v>37</v>
      </c>
      <c r="G4" s="49" t="str">
        <f>C4</f>
        <v>2024. évi eredeti előirányzat</v>
      </c>
      <c r="H4" s="49" t="str">
        <f>D4</f>
        <v>2024. évi módosított előirányzat</v>
      </c>
      <c r="I4" s="260" t="str">
        <f>+E4</f>
        <v>2024. VI. 30. teljesítés</v>
      </c>
      <c r="J4" s="543"/>
    </row>
    <row r="5" spans="1:10" s="22" customFormat="1" ht="13.5" thickBot="1" x14ac:dyDescent="0.25">
      <c r="A5" s="261" t="s">
        <v>190</v>
      </c>
      <c r="B5" s="262" t="s">
        <v>191</v>
      </c>
      <c r="C5" s="86" t="s">
        <v>192</v>
      </c>
      <c r="D5" s="86" t="s">
        <v>194</v>
      </c>
      <c r="E5" s="263" t="s">
        <v>193</v>
      </c>
      <c r="F5" s="262" t="s">
        <v>195</v>
      </c>
      <c r="G5" s="86" t="s">
        <v>196</v>
      </c>
      <c r="H5" s="305" t="s">
        <v>194</v>
      </c>
      <c r="I5" s="271" t="s">
        <v>259</v>
      </c>
      <c r="J5" s="543"/>
    </row>
    <row r="6" spans="1:10" ht="12.95" customHeight="1" x14ac:dyDescent="0.2">
      <c r="A6" s="88" t="s">
        <v>395</v>
      </c>
      <c r="B6" s="89" t="s">
        <v>146</v>
      </c>
      <c r="C6" s="79">
        <v>18831116</v>
      </c>
      <c r="D6" s="79">
        <v>18831116</v>
      </c>
      <c r="E6" s="79">
        <v>6225000</v>
      </c>
      <c r="F6" s="89" t="s">
        <v>67</v>
      </c>
      <c r="G6" s="235">
        <v>613357880</v>
      </c>
      <c r="H6" s="397">
        <v>616333101</v>
      </c>
      <c r="I6" s="97">
        <v>21773853</v>
      </c>
      <c r="J6" s="543"/>
    </row>
    <row r="7" spans="1:10" x14ac:dyDescent="0.2">
      <c r="A7" s="90" t="s">
        <v>293</v>
      </c>
      <c r="B7" s="91" t="s">
        <v>147</v>
      </c>
      <c r="C7" s="80">
        <v>9806116</v>
      </c>
      <c r="D7" s="80">
        <v>9806116</v>
      </c>
      <c r="E7" s="80"/>
      <c r="F7" s="91" t="s">
        <v>151</v>
      </c>
      <c r="G7" s="80">
        <v>571000000</v>
      </c>
      <c r="H7" s="376">
        <v>571000000</v>
      </c>
      <c r="I7" s="267"/>
      <c r="J7" s="543"/>
    </row>
    <row r="8" spans="1:10" ht="12.95" customHeight="1" x14ac:dyDescent="0.2">
      <c r="A8" s="90" t="s">
        <v>294</v>
      </c>
      <c r="B8" s="91" t="s">
        <v>2</v>
      </c>
      <c r="C8" s="80">
        <v>14330264</v>
      </c>
      <c r="D8" s="80">
        <v>5487333</v>
      </c>
      <c r="E8" s="80"/>
      <c r="F8" s="91" t="s">
        <v>59</v>
      </c>
      <c r="G8" s="80">
        <v>37616000</v>
      </c>
      <c r="H8" s="376">
        <v>40065633</v>
      </c>
      <c r="I8" s="267">
        <v>955000</v>
      </c>
      <c r="J8" s="543"/>
    </row>
    <row r="9" spans="1:10" ht="12.95" customHeight="1" x14ac:dyDescent="0.2">
      <c r="A9" s="90" t="s">
        <v>295</v>
      </c>
      <c r="B9" s="91" t="s">
        <v>148</v>
      </c>
      <c r="C9" s="80"/>
      <c r="D9" s="80">
        <v>0</v>
      </c>
      <c r="E9" s="80"/>
      <c r="F9" s="91" t="s">
        <v>152</v>
      </c>
      <c r="G9" s="80"/>
      <c r="H9" s="376">
        <v>0</v>
      </c>
      <c r="I9" s="267"/>
      <c r="J9" s="543"/>
    </row>
    <row r="10" spans="1:10" ht="12.75" customHeight="1" x14ac:dyDescent="0.2">
      <c r="A10" s="90" t="s">
        <v>296</v>
      </c>
      <c r="B10" s="91" t="s">
        <v>149</v>
      </c>
      <c r="C10" s="80"/>
      <c r="D10" s="80">
        <v>0</v>
      </c>
      <c r="E10" s="80"/>
      <c r="F10" s="91" t="s">
        <v>68</v>
      </c>
      <c r="G10" s="80">
        <v>3050000</v>
      </c>
      <c r="H10" s="376">
        <v>3050000</v>
      </c>
      <c r="I10" s="267"/>
      <c r="J10" s="543"/>
    </row>
    <row r="11" spans="1:10" ht="12.95" customHeight="1" x14ac:dyDescent="0.2">
      <c r="A11" s="90" t="s">
        <v>297</v>
      </c>
      <c r="B11" s="91" t="s">
        <v>150</v>
      </c>
      <c r="C11" s="81"/>
      <c r="D11" s="81">
        <v>0</v>
      </c>
      <c r="E11" s="81"/>
      <c r="F11" s="23">
        <v>0</v>
      </c>
      <c r="G11" s="80"/>
      <c r="H11" s="80">
        <v>0</v>
      </c>
      <c r="I11" s="267"/>
      <c r="J11" s="543"/>
    </row>
    <row r="12" spans="1:10" ht="12.95" customHeight="1" x14ac:dyDescent="0.2">
      <c r="A12" s="90" t="s">
        <v>298</v>
      </c>
      <c r="B12" s="294">
        <v>0</v>
      </c>
      <c r="C12" s="80"/>
      <c r="D12" s="80">
        <v>0</v>
      </c>
      <c r="E12" s="81"/>
      <c r="F12" s="23">
        <v>0</v>
      </c>
      <c r="G12" s="80"/>
      <c r="H12" s="80">
        <v>0</v>
      </c>
      <c r="I12" s="267"/>
      <c r="J12" s="543"/>
    </row>
    <row r="13" spans="1:10" ht="12.95" customHeight="1" x14ac:dyDescent="0.2">
      <c r="A13" s="90" t="s">
        <v>314</v>
      </c>
      <c r="B13" s="294">
        <v>0</v>
      </c>
      <c r="C13" s="80"/>
      <c r="D13" s="80">
        <v>0</v>
      </c>
      <c r="E13" s="81"/>
      <c r="F13" s="23">
        <v>0</v>
      </c>
      <c r="G13" s="80"/>
      <c r="H13" s="80">
        <v>0</v>
      </c>
      <c r="I13" s="267"/>
      <c r="J13" s="543"/>
    </row>
    <row r="14" spans="1:10" ht="12.95" customHeight="1" x14ac:dyDescent="0.2">
      <c r="A14" s="90" t="s">
        <v>292</v>
      </c>
      <c r="B14" s="294">
        <v>0</v>
      </c>
      <c r="C14" s="81"/>
      <c r="D14" s="81">
        <v>0</v>
      </c>
      <c r="E14" s="81"/>
      <c r="F14" s="23">
        <v>0</v>
      </c>
      <c r="G14" s="80"/>
      <c r="H14" s="80">
        <v>0</v>
      </c>
      <c r="I14" s="267"/>
      <c r="J14" s="543"/>
    </row>
    <row r="15" spans="1:10" x14ac:dyDescent="0.2">
      <c r="A15" s="90" t="s">
        <v>234</v>
      </c>
      <c r="B15" s="294">
        <v>0</v>
      </c>
      <c r="C15" s="81"/>
      <c r="D15" s="81">
        <v>0</v>
      </c>
      <c r="E15" s="81"/>
      <c r="F15" s="23">
        <v>0</v>
      </c>
      <c r="G15" s="80"/>
      <c r="H15" s="80">
        <v>0</v>
      </c>
      <c r="I15" s="267"/>
      <c r="J15" s="543"/>
    </row>
    <row r="16" spans="1:10" ht="12.95" customHeight="1" thickBot="1" x14ac:dyDescent="0.25">
      <c r="A16" s="111" t="s">
        <v>235</v>
      </c>
      <c r="B16" s="294">
        <v>0</v>
      </c>
      <c r="C16" s="113"/>
      <c r="D16" s="113">
        <v>0</v>
      </c>
      <c r="E16" s="113"/>
      <c r="F16" s="112">
        <v>0</v>
      </c>
      <c r="G16" s="236"/>
      <c r="H16" s="236"/>
      <c r="I16" s="272"/>
      <c r="J16" s="543"/>
    </row>
    <row r="17" spans="1:10" ht="13.5" customHeight="1" thickBot="1" x14ac:dyDescent="0.25">
      <c r="A17" s="93" t="s">
        <v>236</v>
      </c>
      <c r="B17" s="40" t="s">
        <v>424</v>
      </c>
      <c r="C17" s="83">
        <f>+C6+C8+C9+C11+C12+C13+C14+C15+C16</f>
        <v>33161380</v>
      </c>
      <c r="D17" s="83">
        <v>24318449</v>
      </c>
      <c r="E17" s="83">
        <f>E6+E8+E9+E11+E12+E13+E14+E15+E16</f>
        <v>6225000</v>
      </c>
      <c r="F17" s="40" t="s">
        <v>426</v>
      </c>
      <c r="G17" s="83">
        <f>G6+G8+G10+G11+G12+G13+G14+G15+G16</f>
        <v>654023880</v>
      </c>
      <c r="H17" s="83">
        <f>H6+H8+H10+H11+H12+H13+H14+H15+H16</f>
        <v>659448734</v>
      </c>
      <c r="I17" s="99">
        <f>I6+I8+I10+I11+I12+I13+I14+I15+I16</f>
        <v>22728853</v>
      </c>
      <c r="J17" s="543"/>
    </row>
    <row r="18" spans="1:10" ht="12.95" customHeight="1" x14ac:dyDescent="0.2">
      <c r="A18" s="88" t="s">
        <v>299</v>
      </c>
      <c r="B18" s="310" t="s">
        <v>81</v>
      </c>
      <c r="C18" s="396">
        <f>SUM(C19:C23)</f>
        <v>575200000</v>
      </c>
      <c r="D18" s="96">
        <v>575200000</v>
      </c>
      <c r="E18" s="96">
        <f>SUM(E19:E23)</f>
        <v>575200000</v>
      </c>
      <c r="F18" s="311" t="s">
        <v>60</v>
      </c>
      <c r="G18" s="237"/>
      <c r="H18" s="237"/>
      <c r="I18" s="273"/>
      <c r="J18" s="543"/>
    </row>
    <row r="19" spans="1:10" ht="12.95" customHeight="1" x14ac:dyDescent="0.2">
      <c r="A19" s="90" t="s">
        <v>300</v>
      </c>
      <c r="B19" s="309" t="s">
        <v>71</v>
      </c>
      <c r="C19" s="80">
        <v>575200000</v>
      </c>
      <c r="D19" s="30">
        <v>575200000</v>
      </c>
      <c r="E19" s="30">
        <v>575200000</v>
      </c>
      <c r="F19" s="311" t="s">
        <v>63</v>
      </c>
      <c r="G19" s="30"/>
      <c r="H19" s="30"/>
      <c r="I19" s="270"/>
      <c r="J19" s="543"/>
    </row>
    <row r="20" spans="1:10" ht="12.95" customHeight="1" x14ac:dyDescent="0.2">
      <c r="A20" s="88" t="s">
        <v>315</v>
      </c>
      <c r="B20" s="321" t="s">
        <v>72</v>
      </c>
      <c r="C20" s="30"/>
      <c r="D20" s="30"/>
      <c r="E20" s="30"/>
      <c r="F20" s="311" t="s">
        <v>49</v>
      </c>
      <c r="G20" s="30"/>
      <c r="H20" s="30"/>
      <c r="I20" s="270"/>
      <c r="J20" s="543"/>
    </row>
    <row r="21" spans="1:10" ht="12.95" customHeight="1" x14ac:dyDescent="0.2">
      <c r="A21" s="90" t="s">
        <v>301</v>
      </c>
      <c r="B21" s="321" t="s">
        <v>73</v>
      </c>
      <c r="C21" s="30"/>
      <c r="D21" s="30"/>
      <c r="E21" s="30"/>
      <c r="F21" s="311" t="s">
        <v>50</v>
      </c>
      <c r="G21" s="30"/>
      <c r="H21" s="30"/>
      <c r="I21" s="270"/>
      <c r="J21" s="543"/>
    </row>
    <row r="22" spans="1:10" ht="12.95" customHeight="1" x14ac:dyDescent="0.2">
      <c r="A22" s="88" t="s">
        <v>302</v>
      </c>
      <c r="B22" s="321" t="s">
        <v>74</v>
      </c>
      <c r="C22" s="30"/>
      <c r="D22" s="30"/>
      <c r="E22" s="30"/>
      <c r="F22" s="307" t="s">
        <v>70</v>
      </c>
      <c r="G22" s="30"/>
      <c r="H22" s="30"/>
      <c r="I22" s="270"/>
      <c r="J22" s="543"/>
    </row>
    <row r="23" spans="1:10" ht="12.95" customHeight="1" x14ac:dyDescent="0.2">
      <c r="A23" s="90" t="s">
        <v>303</v>
      </c>
      <c r="B23" s="321" t="s">
        <v>75</v>
      </c>
      <c r="C23" s="30"/>
      <c r="D23" s="30"/>
      <c r="E23" s="30"/>
      <c r="F23" s="308" t="s">
        <v>64</v>
      </c>
      <c r="G23" s="30"/>
      <c r="H23" s="30"/>
      <c r="I23" s="270"/>
      <c r="J23" s="543"/>
    </row>
    <row r="24" spans="1:10" ht="12.95" customHeight="1" x14ac:dyDescent="0.2">
      <c r="A24" s="88" t="s">
        <v>304</v>
      </c>
      <c r="B24" s="322" t="s">
        <v>76</v>
      </c>
      <c r="C24" s="94">
        <f>SUM(C25:C29)</f>
        <v>0</v>
      </c>
      <c r="D24" s="94">
        <f>SUM(D25:D29)</f>
        <v>0</v>
      </c>
      <c r="E24" s="94">
        <f>SUM(E25:E29)</f>
        <v>0</v>
      </c>
      <c r="F24" s="311" t="s">
        <v>62</v>
      </c>
      <c r="G24" s="30"/>
      <c r="H24" s="30"/>
      <c r="I24" s="270"/>
      <c r="J24" s="543"/>
    </row>
    <row r="25" spans="1:10" ht="12.95" customHeight="1" x14ac:dyDescent="0.2">
      <c r="A25" s="90" t="s">
        <v>305</v>
      </c>
      <c r="B25" s="321" t="s">
        <v>77</v>
      </c>
      <c r="C25" s="30"/>
      <c r="D25" s="30"/>
      <c r="E25" s="30"/>
      <c r="F25" s="311" t="s">
        <v>153</v>
      </c>
      <c r="G25" s="30">
        <v>320630</v>
      </c>
      <c r="H25" s="30">
        <v>320630</v>
      </c>
      <c r="I25" s="270">
        <v>320630</v>
      </c>
      <c r="J25" s="543"/>
    </row>
    <row r="26" spans="1:10" ht="12.95" customHeight="1" x14ac:dyDescent="0.2">
      <c r="A26" s="88" t="s">
        <v>306</v>
      </c>
      <c r="B26" s="321" t="s">
        <v>78</v>
      </c>
      <c r="C26" s="30"/>
      <c r="D26" s="30"/>
      <c r="E26" s="316"/>
      <c r="F26" s="324" t="s">
        <v>119</v>
      </c>
      <c r="G26" s="30"/>
      <c r="H26" s="30"/>
      <c r="I26" s="270"/>
      <c r="J26" s="543"/>
    </row>
    <row r="27" spans="1:10" ht="12.95" customHeight="1" x14ac:dyDescent="0.2">
      <c r="A27" s="90" t="s">
        <v>316</v>
      </c>
      <c r="B27" s="321" t="s">
        <v>79</v>
      </c>
      <c r="C27" s="30"/>
      <c r="D27" s="30"/>
      <c r="E27" s="316"/>
      <c r="F27" s="325">
        <v>0</v>
      </c>
      <c r="G27" s="30"/>
      <c r="H27" s="30"/>
      <c r="I27" s="270"/>
      <c r="J27" s="543"/>
    </row>
    <row r="28" spans="1:10" ht="12.95" customHeight="1" x14ac:dyDescent="0.2">
      <c r="A28" s="88" t="s">
        <v>307</v>
      </c>
      <c r="B28" s="312" t="s">
        <v>80</v>
      </c>
      <c r="C28" s="30"/>
      <c r="D28" s="30"/>
      <c r="E28" s="316"/>
      <c r="F28" s="325">
        <v>0</v>
      </c>
      <c r="G28" s="30"/>
      <c r="H28" s="30"/>
      <c r="I28" s="270"/>
      <c r="J28" s="543"/>
    </row>
    <row r="29" spans="1:10" ht="12.95" customHeight="1" thickBot="1" x14ac:dyDescent="0.25">
      <c r="A29" s="90" t="s">
        <v>308</v>
      </c>
      <c r="B29" s="323" t="s">
        <v>118</v>
      </c>
      <c r="C29" s="30"/>
      <c r="D29" s="30"/>
      <c r="E29" s="316"/>
      <c r="F29" s="326">
        <v>0</v>
      </c>
      <c r="G29" s="30"/>
      <c r="H29" s="30"/>
      <c r="I29" s="270"/>
      <c r="J29" s="543"/>
    </row>
    <row r="30" spans="1:10" ht="21.75" customHeight="1" thickBot="1" x14ac:dyDescent="0.25">
      <c r="A30" s="93" t="s">
        <v>309</v>
      </c>
      <c r="B30" s="40" t="s">
        <v>425</v>
      </c>
      <c r="C30" s="83">
        <f>C24+C18</f>
        <v>575200000</v>
      </c>
      <c r="D30" s="83">
        <f>D24+D18</f>
        <v>575200000</v>
      </c>
      <c r="E30" s="83">
        <f>E24+E18</f>
        <v>575200000</v>
      </c>
      <c r="F30" s="40" t="s">
        <v>427</v>
      </c>
      <c r="G30" s="83">
        <f>SUM(G18:G29)</f>
        <v>320630</v>
      </c>
      <c r="H30" s="83">
        <f>SUM(H18:H29)</f>
        <v>320630</v>
      </c>
      <c r="I30" s="99">
        <f>SUM(I18:I29)</f>
        <v>320630</v>
      </c>
      <c r="J30" s="543"/>
    </row>
    <row r="31" spans="1:10" ht="13.5" customHeight="1" thickBot="1" x14ac:dyDescent="0.25">
      <c r="A31" s="93" t="s">
        <v>310</v>
      </c>
      <c r="B31" s="95" t="s">
        <v>154</v>
      </c>
      <c r="C31" s="233">
        <f>C30+C17</f>
        <v>608361380</v>
      </c>
      <c r="D31" s="233">
        <f>D30+D17</f>
        <v>599518449</v>
      </c>
      <c r="E31" s="234">
        <f>E30+E17</f>
        <v>581425000</v>
      </c>
      <c r="F31" s="95" t="s">
        <v>155</v>
      </c>
      <c r="G31" s="233">
        <f>G30+G17</f>
        <v>654344510</v>
      </c>
      <c r="H31" s="233">
        <f>H30+H17</f>
        <v>659769364</v>
      </c>
      <c r="I31" s="234">
        <f>I30+I17</f>
        <v>23049483</v>
      </c>
      <c r="J31" s="543"/>
    </row>
    <row r="32" spans="1:10" ht="13.5" customHeight="1" thickBot="1" x14ac:dyDescent="0.25">
      <c r="A32" s="93" t="s">
        <v>311</v>
      </c>
      <c r="B32" s="95" t="s">
        <v>53</v>
      </c>
      <c r="C32" s="233">
        <f>IF(C17-G17&lt;0,G17-C17,"-")</f>
        <v>620862500</v>
      </c>
      <c r="D32" s="233">
        <f>IF(D17-H17&lt;0,H17-D17,"-")</f>
        <v>635130285</v>
      </c>
      <c r="E32" s="234">
        <f>IF(E17-I17&lt;0,I17-E17,"-")</f>
        <v>16503853</v>
      </c>
      <c r="F32" s="95" t="s">
        <v>54</v>
      </c>
      <c r="G32" s="233" t="str">
        <f>IF(C17-G17&gt;0,C17-G17,"-")</f>
        <v>-</v>
      </c>
      <c r="H32" s="233" t="str">
        <f>IF(D17-H17&gt;0,D17-H17,"-")</f>
        <v>-</v>
      </c>
      <c r="I32" s="234" t="str">
        <f>IF(E17-I17&gt;0,E17-I17,"-")</f>
        <v>-</v>
      </c>
      <c r="J32" s="543"/>
    </row>
    <row r="33" spans="1:10" ht="13.5" customHeight="1" thickBot="1" x14ac:dyDescent="0.25">
      <c r="A33" s="93" t="s">
        <v>312</v>
      </c>
      <c r="B33" s="95" t="s">
        <v>206</v>
      </c>
      <c r="C33" s="233">
        <f>IF(C31-G31&lt;0,G31-C31,"-")</f>
        <v>45983130</v>
      </c>
      <c r="D33" s="233">
        <f>IF(D31-H31&lt;0,H31-D31,"-")</f>
        <v>60250915</v>
      </c>
      <c r="E33" s="233" t="str">
        <f>IF(E31-I31&lt;0,I31-E31,"-")</f>
        <v>-</v>
      </c>
      <c r="F33" s="95" t="s">
        <v>207</v>
      </c>
      <c r="G33" s="233" t="str">
        <f>IF(C31-G31&gt;0,C31-G31,"-")</f>
        <v>-</v>
      </c>
      <c r="H33" s="233" t="str">
        <f>IF(D31-H31&gt;0,D31-H31,"-")</f>
        <v>-</v>
      </c>
      <c r="I33" s="233">
        <f>IF(E31-I31&gt;0,E31-I31,"-")</f>
        <v>558375517</v>
      </c>
      <c r="J33" s="543"/>
    </row>
    <row r="34" spans="1:10" x14ac:dyDescent="0.2">
      <c r="G34" s="20">
        <f>SUM(G29:G30)</f>
        <v>320630</v>
      </c>
    </row>
  </sheetData>
  <sheetProtection formatCells="0"/>
  <mergeCells count="2">
    <mergeCell ref="J1:J33"/>
    <mergeCell ref="A3:A4"/>
  </mergeCells>
  <printOptions horizontalCentered="1"/>
  <pageMargins left="0.78740157480314965" right="0.78740157480314965" top="0.47244094488188981" bottom="0.78740157480314965" header="0.47244094488188981" footer="0.78740157480314965"/>
  <pageSetup paperSize="9" scale="7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0">
    <tabColor theme="8"/>
    <pageSetUpPr fitToPage="1"/>
  </sheetPr>
  <dimension ref="A1:E38"/>
  <sheetViews>
    <sheetView topLeftCell="B1" zoomScale="120" zoomScaleNormal="120" workbookViewId="0">
      <selection activeCell="J29" sqref="J29"/>
    </sheetView>
  </sheetViews>
  <sheetFormatPr defaultRowHeight="12.75" x14ac:dyDescent="0.2"/>
  <cols>
    <col min="1" max="1" width="52.1640625" customWidth="1"/>
    <col min="2" max="2" width="17.5" customWidth="1"/>
    <col min="3" max="3" width="66.1640625" customWidth="1"/>
    <col min="4" max="4" width="18.5" customWidth="1"/>
    <col min="5" max="5" width="13.83203125" customWidth="1"/>
  </cols>
  <sheetData>
    <row r="1" spans="1:5" ht="18.75" x14ac:dyDescent="0.3">
      <c r="A1" s="205" t="s">
        <v>47</v>
      </c>
      <c r="E1" s="238" t="s">
        <v>48</v>
      </c>
    </row>
    <row r="3" spans="1:5" x14ac:dyDescent="0.2">
      <c r="A3" s="41"/>
      <c r="B3" s="239"/>
      <c r="C3" s="41"/>
      <c r="D3" s="240"/>
      <c r="E3" s="239"/>
    </row>
    <row r="4" spans="1:5" ht="15.75" x14ac:dyDescent="0.25">
      <c r="A4" s="206" t="str">
        <f>+IB_ÖSSZEFÜGGÉSEK!A6</f>
        <v>2024. évi eredeti előirányzat BEVÉTELEK</v>
      </c>
      <c r="B4" s="241"/>
      <c r="C4" s="207"/>
      <c r="D4" s="240"/>
      <c r="E4" s="239"/>
    </row>
    <row r="5" spans="1:5" x14ac:dyDescent="0.2">
      <c r="A5" s="41"/>
      <c r="B5" s="239"/>
      <c r="C5" s="41"/>
      <c r="D5" s="240"/>
      <c r="E5" s="239"/>
    </row>
    <row r="6" spans="1:5" x14ac:dyDescent="0.2">
      <c r="A6" s="41" t="str">
        <f>IB_ÖSSZEFÜGGÉSEK!A9</f>
        <v>IB_1.1.sz.mell. Bevételek táblázat C oszlop 59 sora =</v>
      </c>
      <c r="B6" s="239">
        <f>+IB_1.1.sz.mell.!C69</f>
        <v>1486222396</v>
      </c>
      <c r="C6" s="41" t="str">
        <f>IB_ÖSSZEFÜGGÉSEK!B9</f>
        <v xml:space="preserve">IB_2.1.sz.mell. táblázat C oszlop 13 sor + IB_2.2.sz.mell. táblázat C oszlop 12 sor </v>
      </c>
      <c r="D6" s="239">
        <f>+IB_2.1.sz.mell!C18+IB_2.2.sz.mell!C17</f>
        <v>1486222396</v>
      </c>
      <c r="E6" s="239">
        <f>+B6-D6</f>
        <v>0</v>
      </c>
    </row>
    <row r="7" spans="1:5" x14ac:dyDescent="0.2">
      <c r="A7" s="41" t="str">
        <f>IB_ÖSSZEFÜGGÉSEK!A10</f>
        <v>IB_1.1.sz.mell. Bevételek táblázat C oszlop 83 sora =</v>
      </c>
      <c r="B7" s="239">
        <f>+IB_1.1.sz.mell.!C93</f>
        <v>784196835</v>
      </c>
      <c r="C7" s="41" t="str">
        <f>IB_ÖSSZEFÜGGÉSEK!B10</f>
        <v xml:space="preserve">IB_2.1.sz.mell. táblázat C oszlop 24 sor + IB_2.2.sz.mell. táblázat C oszlop 25 sor </v>
      </c>
      <c r="D7" s="239">
        <f>+IB_2.1.sz.mell!C29+IB_2.2.sz.mell!C30</f>
        <v>784196835</v>
      </c>
      <c r="E7" s="239">
        <f>+B7-D7</f>
        <v>0</v>
      </c>
    </row>
    <row r="8" spans="1:5" x14ac:dyDescent="0.2">
      <c r="A8" s="41" t="str">
        <f>IB_ÖSSZEFÜGGÉSEK!A11</f>
        <v>IB_1.1.sz.mell. Bevételek táblázat C oszlop 84 sora =</v>
      </c>
      <c r="B8" s="239">
        <f>+IB_1.1.sz.mell.!C94</f>
        <v>2270419231</v>
      </c>
      <c r="C8" s="41" t="str">
        <f>IB_ÖSSZEFÜGGÉSEK!B11</f>
        <v xml:space="preserve">IB_2.1.sz.mell. táblázat C oszlop 25 sor + IB_2.2.sz.mell. táblázat C oszlop 26 sor </v>
      </c>
      <c r="D8" s="239">
        <f>+IB_2.1.sz.mell!C30+IB_2.2.sz.mell!C31</f>
        <v>2270419231</v>
      </c>
      <c r="E8" s="239">
        <f>+B8-D8</f>
        <v>0</v>
      </c>
    </row>
    <row r="9" spans="1:5" x14ac:dyDescent="0.2">
      <c r="A9" s="41"/>
      <c r="B9" s="239"/>
      <c r="C9" s="41"/>
      <c r="D9" s="239"/>
      <c r="E9" s="239"/>
    </row>
    <row r="10" spans="1:5" ht="15.75" x14ac:dyDescent="0.25">
      <c r="A10" s="206" t="str">
        <f>+IB_ÖSSZEFÜGGÉSEK!A13</f>
        <v>2024. évi módosított előirányzat BEVÉTELEK</v>
      </c>
      <c r="B10" s="241"/>
      <c r="C10" s="207"/>
      <c r="D10" s="239"/>
      <c r="E10" s="239"/>
    </row>
    <row r="11" spans="1:5" x14ac:dyDescent="0.2">
      <c r="A11" s="41"/>
      <c r="B11" s="239"/>
      <c r="C11" s="41"/>
      <c r="D11" s="239"/>
      <c r="E11" s="239"/>
    </row>
    <row r="12" spans="1:5" x14ac:dyDescent="0.2">
      <c r="A12" s="41" t="str">
        <f>IB_ÖSSZEFÜGGÉSEK!A15</f>
        <v>IB_1.1.sz.mell. Bevételek táblázat D oszlop 59 sora =</v>
      </c>
      <c r="B12" s="239">
        <f>+IB_1.1.sz.mell.!D69</f>
        <v>1513874743</v>
      </c>
      <c r="C12" s="41" t="str">
        <f>IB_ÖSSZEFÜGGÉSEK!B15</f>
        <v xml:space="preserve">IB_2.1.sz.mell. táblázat D oszlop 13 sor + IB_2.2.sz.mell. táblázat D oszlop 12 sor </v>
      </c>
      <c r="D12" s="239">
        <f>+IB_2.1.sz.mell!D18+IB_2.2.sz.mell!D17</f>
        <v>1513874743</v>
      </c>
      <c r="E12" s="239">
        <f>+B12-D12</f>
        <v>0</v>
      </c>
    </row>
    <row r="13" spans="1:5" x14ac:dyDescent="0.2">
      <c r="A13" s="41" t="str">
        <f>IB_ÖSSZEFÜGGÉSEK!A16</f>
        <v>IB_1.1.sz.mell. Bevételek táblázat D oszlop 83 sora =</v>
      </c>
      <c r="B13" s="239">
        <f>+IB_1.1.sz.mell.!D93</f>
        <v>784196835</v>
      </c>
      <c r="C13" s="41" t="str">
        <f>IB_ÖSSZEFÜGGÉSEK!B16</f>
        <v xml:space="preserve">IB_2.1.sz.mell. táblázat D oszlop 24 sor + IB_2.2.sz.mell. táblázat D oszlop 25 sor </v>
      </c>
      <c r="D13" s="239">
        <f>+IB_2.1.sz.mell!D29+IB_2.2.sz.mell!D30</f>
        <v>784196835</v>
      </c>
      <c r="E13" s="239">
        <f>+B13-D13</f>
        <v>0</v>
      </c>
    </row>
    <row r="14" spans="1:5" x14ac:dyDescent="0.2">
      <c r="A14" s="41" t="str">
        <f>IB_ÖSSZEFÜGGÉSEK!A17</f>
        <v>IB_1.1.sz.mell. Bevételek táblázat D oszlop 84 sora =</v>
      </c>
      <c r="B14" s="239">
        <f>+IB_1.1.sz.mell.!D94</f>
        <v>2298071578</v>
      </c>
      <c r="C14" s="41" t="str">
        <f>IB_ÖSSZEFÜGGÉSEK!B17</f>
        <v xml:space="preserve">IB_2.1.sz.mell. táblázat D oszlop 25 sor + IB_2.2.sz.mell. táblázat D oszlop 26 sor </v>
      </c>
      <c r="D14" s="239">
        <f>+IB_2.1.sz.mell!D30+IB_2.2.sz.mell!D31</f>
        <v>2298071578</v>
      </c>
      <c r="E14" s="239">
        <f>+B14-D14</f>
        <v>0</v>
      </c>
    </row>
    <row r="15" spans="1:5" x14ac:dyDescent="0.2">
      <c r="A15" s="41"/>
      <c r="B15" s="239"/>
      <c r="C15" s="41"/>
      <c r="D15" s="239"/>
      <c r="E15" s="239"/>
    </row>
    <row r="16" spans="1:5" ht="14.25" x14ac:dyDescent="0.2">
      <c r="A16" s="181" t="str">
        <f>+IB_ÖSSZEFÜGGÉSEK!A19</f>
        <v>2024. I-III. negyedévi teljesítés BEVÉTELEK</v>
      </c>
      <c r="C16" s="207"/>
      <c r="D16" s="239"/>
      <c r="E16" s="239"/>
    </row>
    <row r="17" spans="1:5" x14ac:dyDescent="0.2">
      <c r="A17" s="41"/>
      <c r="B17" s="239"/>
      <c r="C17" s="41"/>
      <c r="D17" s="239"/>
      <c r="E17" s="239"/>
    </row>
    <row r="18" spans="1:5" x14ac:dyDescent="0.2">
      <c r="A18" s="41" t="str">
        <f>IB_ÖSSZEFÜGGÉSEK!A21</f>
        <v>IB_1.1.sz.mell. Bevételek táblázat E oszlop 59 sora =</v>
      </c>
      <c r="B18" s="239">
        <f>+IB_1.1.sz.mell.!E69</f>
        <v>804212099</v>
      </c>
      <c r="C18" s="41" t="str">
        <f>IB_ÖSSZEFÜGGÉSEK!B21</f>
        <v xml:space="preserve">IB_2.1.sz.mell. táblázat E oszlop 13 sor + IB_2.2.sz.mell. táblázat E oszlop 12 sor </v>
      </c>
      <c r="D18" s="239">
        <f>+IB_2.1.sz.mell!E18+IB_2.2.sz.mell!E17</f>
        <v>804212099</v>
      </c>
      <c r="E18" s="239">
        <f>+B18-D18</f>
        <v>0</v>
      </c>
    </row>
    <row r="19" spans="1:5" x14ac:dyDescent="0.2">
      <c r="A19" s="41" t="str">
        <f>IB_ÖSSZEFÜGGÉSEK!A22</f>
        <v>IB_1.1.sz.mell. Bevételek táblázat E oszlop 83 sora =</v>
      </c>
      <c r="B19" s="239">
        <f>+IB_1.1.sz.mell.!E93</f>
        <v>784196835</v>
      </c>
      <c r="C19" s="41" t="str">
        <f>IB_ÖSSZEFÜGGÉSEK!B22</f>
        <v xml:space="preserve">IB_2.1.sz.mell. táblázat E oszlop 24 sor + IB_2.2.sz.mell. táblázat E oszlop 25 sor </v>
      </c>
      <c r="D19" s="239">
        <f>+IB_2.1.sz.mell!E29+IB_2.2.sz.mell!E30</f>
        <v>784196835</v>
      </c>
      <c r="E19" s="239">
        <f>+B19-D19</f>
        <v>0</v>
      </c>
    </row>
    <row r="20" spans="1:5" x14ac:dyDescent="0.2">
      <c r="A20" s="41" t="str">
        <f>IB_ÖSSZEFÜGGÉSEK!A23</f>
        <v>IB_1.1.sz.mell. Bevételek táblázat E oszlop 84 sora =</v>
      </c>
      <c r="B20" s="239">
        <f>+IB_1.1.sz.mell.!E94</f>
        <v>1588408934</v>
      </c>
      <c r="C20" s="41" t="str">
        <f>IB_ÖSSZEFÜGGÉSEK!B23</f>
        <v xml:space="preserve">IB_2.1.sz.mell. táblázat E oszlop 25 sor + IB_2.2.sz.mell. táblázat E oszlop 26 sor </v>
      </c>
      <c r="D20" s="239">
        <f>+IB_2.1.sz.mell!E30+IB_2.2.sz.mell!E31</f>
        <v>1588408934</v>
      </c>
      <c r="E20" s="239">
        <f>+B20-D20</f>
        <v>0</v>
      </c>
    </row>
    <row r="21" spans="1:5" x14ac:dyDescent="0.2">
      <c r="A21" s="41"/>
      <c r="B21" s="239"/>
      <c r="C21" s="41"/>
      <c r="D21" s="239"/>
      <c r="E21" s="239"/>
    </row>
    <row r="22" spans="1:5" ht="15.75" x14ac:dyDescent="0.25">
      <c r="A22" s="206" t="str">
        <f>+IB_ÖSSZEFÜGGÉSEK!A25</f>
        <v>2024. évi eredeti előirányzat KIADÁSOK</v>
      </c>
      <c r="B22" s="241"/>
      <c r="C22" s="207"/>
      <c r="D22" s="239"/>
      <c r="E22" s="239"/>
    </row>
    <row r="23" spans="1:5" x14ac:dyDescent="0.2">
      <c r="A23" s="41"/>
      <c r="B23" s="239"/>
      <c r="C23" s="41"/>
      <c r="D23" s="239"/>
      <c r="E23" s="239"/>
    </row>
    <row r="24" spans="1:5" x14ac:dyDescent="0.2">
      <c r="A24" s="41" t="str">
        <f>IB_ÖSSZEFÜGGÉSEK!A27</f>
        <v>IB_1.1.sz.mell. Kiadások táblázat C oszlop 36 sora =</v>
      </c>
      <c r="B24" s="239">
        <f>+IB_1.1.sz.mell.!C136</f>
        <v>2241599119</v>
      </c>
      <c r="C24" s="41" t="str">
        <f>IB_ÖSSZEFÜGGÉSEK!B27</f>
        <v>IB2.1.sz.mell. G oszlop 13 sor + IB_2.2.sz.mell. G oszlop 12 sor</v>
      </c>
      <c r="D24" s="239">
        <f>+IB_2.1.sz.mell!G18+IB_2.2.sz.mell!G17</f>
        <v>2241599119</v>
      </c>
      <c r="E24" s="239">
        <f>+B24-D24</f>
        <v>0</v>
      </c>
    </row>
    <row r="25" spans="1:5" x14ac:dyDescent="0.2">
      <c r="A25" s="41" t="str">
        <f>IB_ÖSSZEFÜGGÉSEK!A28</f>
        <v>IB1.1.sz.mell. Kiadások táblázat C oszlop 61 sora =</v>
      </c>
      <c r="B25" s="239">
        <f>+IB_1.1.sz.mell.!C161</f>
        <v>28820112</v>
      </c>
      <c r="C25" s="41" t="str">
        <f>IB_ÖSSZEFÜGGÉSEK!B28</f>
        <v>IB2.1.sz.mell. G oszlop 24 sor + IB_2.2.sz.mell. G oszlop 25 sor</v>
      </c>
      <c r="D25" s="239">
        <f>+IB_2.1.sz.mell!G29+IB_2.2.sz.mell!G30</f>
        <v>28820112</v>
      </c>
      <c r="E25" s="239">
        <f>+B25-D25</f>
        <v>0</v>
      </c>
    </row>
    <row r="26" spans="1:5" x14ac:dyDescent="0.2">
      <c r="A26" s="41" t="str">
        <f>IB_ÖSSZEFÜGGÉSEK!A29</f>
        <v>IB1.1.sz.mell.Kiadások táblázat C oszlop 62 sora =</v>
      </c>
      <c r="B26" s="239">
        <f>+IB_1.1.sz.mell.!C162</f>
        <v>2270419231</v>
      </c>
      <c r="C26" s="41" t="str">
        <f>IB_ÖSSZEFÜGGÉSEK!B29</f>
        <v>IB2.1.sz.mell. G oszlop 25 sor + IB_2.2.sz.mell. G oszlop 26 sor</v>
      </c>
      <c r="D26" s="239">
        <f>+IB_2.1.sz.mell!G30+IB_2.2.sz.mell!G31</f>
        <v>2270419231</v>
      </c>
      <c r="E26" s="239">
        <f>+B26-D26</f>
        <v>0</v>
      </c>
    </row>
    <row r="27" spans="1:5" x14ac:dyDescent="0.2">
      <c r="A27" s="41"/>
      <c r="B27" s="239"/>
      <c r="C27" s="41"/>
      <c r="D27" s="239"/>
      <c r="E27" s="239"/>
    </row>
    <row r="28" spans="1:5" ht="15.75" x14ac:dyDescent="0.25">
      <c r="A28" s="206" t="str">
        <f>+IB_ÖSSZEFÜGGÉSEK!A31</f>
        <v>2024. évi módosított előirányzat KIADÁSOK</v>
      </c>
      <c r="B28" s="241"/>
      <c r="C28" s="207"/>
      <c r="D28" s="239"/>
      <c r="E28" s="239"/>
    </row>
    <row r="29" spans="1:5" x14ac:dyDescent="0.2">
      <c r="A29" s="41"/>
      <c r="B29" s="239"/>
      <c r="C29" s="41"/>
      <c r="D29" s="239"/>
      <c r="E29" s="239"/>
    </row>
    <row r="30" spans="1:5" x14ac:dyDescent="0.2">
      <c r="A30" s="41" t="str">
        <f>IB_ÖSSZEFÜGGÉSEK!A33</f>
        <v>IB_1.1.sz.mell. Kiadások táblázat D oszlop 36 sora =</v>
      </c>
      <c r="B30" s="239">
        <f>+IB_1.1.sz.mell.!D136</f>
        <v>2269251466</v>
      </c>
      <c r="C30" s="41" t="str">
        <f>IB_ÖSSZEFÜGGÉSEK!B33</f>
        <v>IB_2.1.sz.mell. H oszlop 13 sor + IB_2.2.sz.mell. H oszlop 12 sor</v>
      </c>
      <c r="D30" s="239">
        <f>+IB_2.1.sz.mell!H18+IB_2.2.sz.mell!H17</f>
        <v>2269251466</v>
      </c>
      <c r="E30" s="239">
        <f>+B30-D30</f>
        <v>0</v>
      </c>
    </row>
    <row r="31" spans="1:5" x14ac:dyDescent="0.2">
      <c r="A31" s="41" t="str">
        <f>IB_ÖSSZEFÜGGÉSEK!A34</f>
        <v>IB_1.1.sz.mell. Kiadások táblázat D oszlop 61 sora =</v>
      </c>
      <c r="B31" s="239">
        <f>+IB_1.1.sz.mell.!D161</f>
        <v>28820112</v>
      </c>
      <c r="C31" s="41" t="str">
        <f>IB_ÖSSZEFÜGGÉSEK!B34</f>
        <v>IB_2.1.sz.mell. H oszlop 24 sor + IB_2.2.sz.mell. H oszlop 25 sor</v>
      </c>
      <c r="D31" s="239">
        <f>+IB_2.1.sz.mell!H29+IB_2.2.sz.mell!H30</f>
        <v>28820112</v>
      </c>
      <c r="E31" s="239">
        <f>+B31-D31</f>
        <v>0</v>
      </c>
    </row>
    <row r="32" spans="1:5" x14ac:dyDescent="0.2">
      <c r="A32" s="41" t="str">
        <f>IB_ÖSSZEFÜGGÉSEK!A35</f>
        <v>IB_1.1.sz.mell. Kiadások táblázat Doszlop 62 sora =</v>
      </c>
      <c r="B32" s="239">
        <f>+IB_1.1.sz.mell.!D162</f>
        <v>2298071578</v>
      </c>
      <c r="C32" s="41" t="str">
        <f>IB_ÖSSZEFÜGGÉSEK!B35</f>
        <v>IB_2.1.sz.mell. H oszlop 25 sor + IB_2.2.sz.mell. H oszlop 26 sor</v>
      </c>
      <c r="D32" s="239">
        <f>+IB_2.1.sz.mell!H30+IB_2.2.sz.mell!H31</f>
        <v>2298071578</v>
      </c>
      <c r="E32" s="239">
        <f>+B32-D32</f>
        <v>0</v>
      </c>
    </row>
    <row r="33" spans="1:5" x14ac:dyDescent="0.2">
      <c r="A33" s="41"/>
      <c r="B33" s="239"/>
      <c r="C33" s="41"/>
      <c r="D33" s="239"/>
      <c r="E33" s="239"/>
    </row>
    <row r="34" spans="1:5" ht="15.75" x14ac:dyDescent="0.25">
      <c r="A34" s="206" t="str">
        <f>+IB_ÖSSZEFÜGGÉSEK!A37</f>
        <v>2024. I-III. negyedévi teljesítés KIADÁSOK</v>
      </c>
      <c r="B34" s="241"/>
      <c r="C34" s="207"/>
      <c r="D34" s="239"/>
      <c r="E34" s="239"/>
    </row>
    <row r="35" spans="1:5" x14ac:dyDescent="0.2">
      <c r="A35" s="41"/>
      <c r="B35" s="239"/>
      <c r="C35" s="41"/>
      <c r="D35" s="239"/>
      <c r="E35" s="239"/>
    </row>
    <row r="36" spans="1:5" x14ac:dyDescent="0.2">
      <c r="A36" s="41" t="str">
        <f>IB_ÖSSZEFÜGGÉSEK!A39</f>
        <v>IB_1.1.sz.mell. Kiadások táblázat E oszlop 36 sora =</v>
      </c>
      <c r="B36" s="239">
        <f>+IB_1.1.sz.mell.!E136</f>
        <v>795331429</v>
      </c>
      <c r="C36" s="41" t="str">
        <f>IB_ÖSSZEFÜGGÉSEK!B39</f>
        <v>IB_2.1.sz.mell. I oszlop 13 sor + IB_2.2.sz.mell. I oszlop 12 sor</v>
      </c>
      <c r="D36" s="239">
        <f>+IB_2.1.sz.mell!I18+IB_2.2.sz.mell!I17</f>
        <v>795331429</v>
      </c>
      <c r="E36" s="239">
        <f>+B36-D36</f>
        <v>0</v>
      </c>
    </row>
    <row r="37" spans="1:5" x14ac:dyDescent="0.2">
      <c r="A37" s="41" t="str">
        <f>IB_ÖSSZEFÜGGÉSEK!A40</f>
        <v>IB_1.1.sz.mell. Kiadások táblázat E oszlop 61 sora =</v>
      </c>
      <c r="B37" s="239">
        <f>+IB_1.1.sz.mell.!E161</f>
        <v>28820512</v>
      </c>
      <c r="C37" s="41" t="str">
        <f>IB_ÖSSZEFÜGGÉSEK!B40</f>
        <v>IB_2.1.sz.mell. I oszlop 24 sor + IB_2.2.sz.mell. I oszlop 25 sor</v>
      </c>
      <c r="D37" s="239">
        <f>+IB_2.1.sz.mell!I29+IB_2.2.sz.mell!I30</f>
        <v>28820512</v>
      </c>
      <c r="E37" s="239">
        <f>+B37-D37</f>
        <v>0</v>
      </c>
    </row>
    <row r="38" spans="1:5" x14ac:dyDescent="0.2">
      <c r="A38" s="41" t="str">
        <f>IB_ÖSSZEFÜGGÉSEK!A41</f>
        <v>IB_1.1.sz.mell. Kiadások táblázat E oszlop 62 sora =</v>
      </c>
      <c r="B38" s="239">
        <f>+IB_1.1.sz.mell.!E162</f>
        <v>824151941</v>
      </c>
      <c r="C38" s="41" t="str">
        <f>IB_ÖSSZEFÜGGÉSEK!B41</f>
        <v>IB_2.1.sz.mell. I oszlop 25 sor + IB_2.2.sz.mell. I oszlop 26 sor</v>
      </c>
      <c r="D38" s="239">
        <f>+IB_2.1.sz.mell!I30+IB_2.2.sz.mell!I31</f>
        <v>824151941</v>
      </c>
      <c r="E38" s="239">
        <f>+B38-D38</f>
        <v>0</v>
      </c>
    </row>
  </sheetData>
  <sheetProtection sheet="1"/>
  <conditionalFormatting sqref="E3:E38">
    <cfRule type="cellIs" dxfId="10" priority="1" stopIfTrue="1" operator="notEqual">
      <formula>0</formula>
    </cfRule>
  </conditionalFormatting>
  <pageMargins left="0.79" right="0.56999999999999995" top="0.88" bottom="0.66" header="0.5" footer="0.5"/>
  <pageSetup paperSize="9" scale="8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1">
    <tabColor theme="8"/>
  </sheetPr>
  <dimension ref="A1:F25"/>
  <sheetViews>
    <sheetView zoomScale="120" zoomScaleNormal="120" workbookViewId="0">
      <selection activeCell="H25" sqref="H25"/>
    </sheetView>
  </sheetViews>
  <sheetFormatPr defaultRowHeight="12.75" x14ac:dyDescent="0.2"/>
  <cols>
    <col min="1" max="1" width="47.1640625" style="21" customWidth="1"/>
    <col min="2" max="2" width="15.6640625" style="20" customWidth="1"/>
    <col min="3" max="3" width="16.33203125" style="20" customWidth="1"/>
    <col min="4" max="4" width="16" style="20" customWidth="1"/>
    <col min="5" max="5" width="18" style="20" customWidth="1"/>
    <col min="6" max="6" width="16.6640625" style="20" customWidth="1"/>
    <col min="7" max="8" width="12.83203125" style="20" customWidth="1"/>
    <col min="9" max="9" width="13.83203125" style="20" customWidth="1"/>
    <col min="10" max="16384" width="9.33203125" style="20"/>
  </cols>
  <sheetData>
    <row r="1" spans="1:6" ht="21.75" customHeight="1" x14ac:dyDescent="0.2">
      <c r="A1" s="196"/>
      <c r="B1" s="547" t="str">
        <f>CONCATENATE("3. melléklet ",IB_ALAPADATOK!A7," ",IB_ALAPADATOK!B7," ",IB_ALAPADATOK!C7," ",IB_ALAPADATOK!D7)</f>
        <v>3. melléklet a 2024. I. félévi költségvetési tájékoztatóhoz</v>
      </c>
      <c r="C1" s="548"/>
      <c r="D1" s="548"/>
      <c r="E1" s="548"/>
      <c r="F1" s="548"/>
    </row>
    <row r="2" spans="1:6" x14ac:dyDescent="0.2">
      <c r="A2" s="196"/>
      <c r="B2" s="193"/>
      <c r="C2" s="193"/>
      <c r="D2" s="193"/>
      <c r="E2" s="193"/>
      <c r="F2" s="193"/>
    </row>
    <row r="3" spans="1:6" ht="25.5" customHeight="1" x14ac:dyDescent="0.2">
      <c r="A3" s="549" t="s">
        <v>0</v>
      </c>
      <c r="B3" s="549"/>
      <c r="C3" s="549"/>
      <c r="D3" s="549"/>
      <c r="E3" s="549"/>
      <c r="F3" s="549"/>
    </row>
    <row r="4" spans="1:6" ht="22.5" customHeight="1" thickBot="1" x14ac:dyDescent="0.3">
      <c r="A4" s="196"/>
      <c r="B4" s="193"/>
      <c r="C4" s="193"/>
      <c r="D4" s="193"/>
      <c r="E4" s="193"/>
      <c r="F4" s="197" t="s">
        <v>615</v>
      </c>
    </row>
    <row r="5" spans="1:6" s="22" customFormat="1" ht="44.45" customHeight="1" thickBot="1" x14ac:dyDescent="0.25">
      <c r="A5" s="198" t="s">
        <v>40</v>
      </c>
      <c r="B5" s="199" t="s">
        <v>41</v>
      </c>
      <c r="C5" s="199" t="s">
        <v>42</v>
      </c>
      <c r="D5" s="49" t="str">
        <f>+CONCATENATE("Felhasználás   ",LEFT(IB_ÖSSZEFÜGGÉSEK!A6,4)-1,". XII. 31-ig")</f>
        <v>Felhasználás   2023. XII. 31-ig</v>
      </c>
      <c r="E5" s="49" t="str">
        <f>+CONCATENATE(LEFT(IB_ÖSSZEFÜGGÉSEK!A6,4),". évi",CHAR(10),"módosított előirányzat")</f>
        <v>2024. évi
módosított előirányzat</v>
      </c>
      <c r="F5" s="49" t="str">
        <f>+CONCATENATE("Teljesítés ",IB_ALAPADATOK!B7,IB_ALAPADATOK!C9,"-ig")</f>
        <v>Teljesítés 2024. VI. 30.-ig</v>
      </c>
    </row>
    <row r="6" spans="1:6" ht="12" customHeight="1" thickBot="1" x14ac:dyDescent="0.25">
      <c r="A6" s="274" t="s">
        <v>190</v>
      </c>
      <c r="B6" s="275" t="s">
        <v>191</v>
      </c>
      <c r="C6" s="275" t="s">
        <v>192</v>
      </c>
      <c r="D6" s="275" t="s">
        <v>194</v>
      </c>
      <c r="E6" s="275" t="s">
        <v>193</v>
      </c>
      <c r="F6" s="275" t="s">
        <v>195</v>
      </c>
    </row>
    <row r="7" spans="1:6" ht="15.95" customHeight="1" x14ac:dyDescent="0.2">
      <c r="A7" s="155" t="s">
        <v>502</v>
      </c>
      <c r="B7" s="14">
        <v>363000000</v>
      </c>
      <c r="C7" s="398" t="s">
        <v>503</v>
      </c>
      <c r="D7" s="14">
        <v>8000000</v>
      </c>
      <c r="E7" s="14">
        <v>355000000</v>
      </c>
      <c r="F7" s="14"/>
    </row>
    <row r="8" spans="1:6" ht="15.95" customHeight="1" x14ac:dyDescent="0.2">
      <c r="A8" s="155" t="s">
        <v>504</v>
      </c>
      <c r="B8" s="14">
        <v>216000000</v>
      </c>
      <c r="C8" s="398" t="s">
        <v>503</v>
      </c>
      <c r="D8" s="14"/>
      <c r="E8" s="14">
        <v>216000000</v>
      </c>
      <c r="F8" s="14"/>
    </row>
    <row r="9" spans="1:6" ht="15.95" customHeight="1" x14ac:dyDescent="0.2">
      <c r="A9" s="155" t="s">
        <v>505</v>
      </c>
      <c r="B9" s="14">
        <v>300000</v>
      </c>
      <c r="C9" s="398" t="s">
        <v>506</v>
      </c>
      <c r="D9" s="14"/>
      <c r="E9" s="14">
        <v>300000</v>
      </c>
      <c r="F9" s="14"/>
    </row>
    <row r="10" spans="1:6" ht="15.95" customHeight="1" x14ac:dyDescent="0.2">
      <c r="A10" s="155" t="s">
        <v>507</v>
      </c>
      <c r="B10" s="14">
        <v>5000000</v>
      </c>
      <c r="C10" s="398" t="s">
        <v>506</v>
      </c>
      <c r="D10" s="14">
        <v>3916000</v>
      </c>
      <c r="E10" s="14">
        <v>1084000</v>
      </c>
      <c r="F10" s="14">
        <v>1083879</v>
      </c>
    </row>
    <row r="11" spans="1:6" ht="15.95" customHeight="1" x14ac:dyDescent="0.2">
      <c r="A11" s="399" t="s">
        <v>508</v>
      </c>
      <c r="B11" s="14">
        <v>5000000</v>
      </c>
      <c r="C11" s="398" t="s">
        <v>506</v>
      </c>
      <c r="D11" s="14"/>
      <c r="E11" s="14">
        <v>5000000</v>
      </c>
      <c r="F11" s="14">
        <v>4996781</v>
      </c>
    </row>
    <row r="12" spans="1:6" ht="15.95" customHeight="1" x14ac:dyDescent="0.2">
      <c r="A12" s="155" t="s">
        <v>509</v>
      </c>
      <c r="B12" s="14">
        <v>2500000</v>
      </c>
      <c r="C12" s="398" t="s">
        <v>506</v>
      </c>
      <c r="D12" s="14"/>
      <c r="E12" s="14">
        <v>1803400</v>
      </c>
      <c r="F12" s="14"/>
    </row>
    <row r="13" spans="1:6" ht="15.95" customHeight="1" x14ac:dyDescent="0.2">
      <c r="A13" s="399" t="s">
        <v>510</v>
      </c>
      <c r="B13" s="14">
        <v>2068180</v>
      </c>
      <c r="C13" s="398" t="s">
        <v>506</v>
      </c>
      <c r="D13" s="14"/>
      <c r="E13" s="14">
        <v>3296651</v>
      </c>
      <c r="F13" s="14"/>
    </row>
    <row r="14" spans="1:6" ht="15.95" customHeight="1" x14ac:dyDescent="0.2">
      <c r="A14" s="155" t="s">
        <v>511</v>
      </c>
      <c r="B14" s="14">
        <v>1500000</v>
      </c>
      <c r="C14" s="398" t="s">
        <v>506</v>
      </c>
      <c r="D14" s="14"/>
      <c r="E14" s="14">
        <v>2863850</v>
      </c>
      <c r="F14" s="14"/>
    </row>
    <row r="15" spans="1:6" ht="15.95" customHeight="1" x14ac:dyDescent="0.2">
      <c r="A15" s="155" t="s">
        <v>512</v>
      </c>
      <c r="B15" s="14">
        <v>41900000</v>
      </c>
      <c r="C15" s="398" t="s">
        <v>506</v>
      </c>
      <c r="D15" s="14"/>
      <c r="E15" s="14">
        <v>20950000</v>
      </c>
      <c r="F15" s="14">
        <v>10475000</v>
      </c>
    </row>
    <row r="16" spans="1:6" ht="15.95" customHeight="1" x14ac:dyDescent="0.2">
      <c r="A16" s="155" t="s">
        <v>513</v>
      </c>
      <c r="B16" s="14">
        <v>2720000</v>
      </c>
      <c r="C16" s="398" t="s">
        <v>506</v>
      </c>
      <c r="D16" s="14"/>
      <c r="E16" s="14">
        <v>2720000</v>
      </c>
      <c r="F16" s="14">
        <v>2720000</v>
      </c>
    </row>
    <row r="17" spans="1:6" ht="15.95" customHeight="1" x14ac:dyDescent="0.2">
      <c r="A17" s="155" t="s">
        <v>514</v>
      </c>
      <c r="B17" s="14">
        <v>3080000</v>
      </c>
      <c r="C17" s="398" t="s">
        <v>506</v>
      </c>
      <c r="D17" s="14"/>
      <c r="E17" s="14">
        <v>3080000</v>
      </c>
      <c r="F17" s="14">
        <v>743234</v>
      </c>
    </row>
    <row r="18" spans="1:6" ht="15.95" customHeight="1" x14ac:dyDescent="0.2">
      <c r="A18" s="155" t="s">
        <v>515</v>
      </c>
      <c r="B18" s="14">
        <v>1079500</v>
      </c>
      <c r="C18" s="398" t="s">
        <v>506</v>
      </c>
      <c r="D18" s="14"/>
      <c r="E18" s="14">
        <v>1079500</v>
      </c>
      <c r="F18" s="14"/>
    </row>
    <row r="19" spans="1:6" ht="15.95" customHeight="1" x14ac:dyDescent="0.2">
      <c r="A19" s="155" t="s">
        <v>516</v>
      </c>
      <c r="B19" s="14">
        <v>2000000</v>
      </c>
      <c r="C19" s="398" t="s">
        <v>506</v>
      </c>
      <c r="D19" s="14"/>
      <c r="E19" s="14">
        <v>2000000</v>
      </c>
      <c r="F19" s="14">
        <v>1123805</v>
      </c>
    </row>
    <row r="20" spans="1:6" ht="15.95" customHeight="1" x14ac:dyDescent="0.2">
      <c r="A20" s="155" t="s">
        <v>517</v>
      </c>
      <c r="B20" s="14">
        <v>1155700</v>
      </c>
      <c r="C20" s="398" t="s">
        <v>506</v>
      </c>
      <c r="D20" s="14"/>
      <c r="E20" s="14">
        <v>1155700</v>
      </c>
      <c r="F20" s="14">
        <v>229900</v>
      </c>
    </row>
    <row r="21" spans="1:6" ht="15.95" customHeight="1" x14ac:dyDescent="0.2">
      <c r="A21" s="155" t="s">
        <v>640</v>
      </c>
      <c r="B21" s="14">
        <v>401254</v>
      </c>
      <c r="C21" s="398" t="s">
        <v>506</v>
      </c>
      <c r="D21" s="14"/>
      <c r="E21" s="14"/>
      <c r="F21" s="14">
        <v>401254</v>
      </c>
    </row>
    <row r="22" spans="1:6" ht="15.95" customHeight="1" x14ac:dyDescent="0.2">
      <c r="A22" s="155"/>
      <c r="B22" s="14"/>
      <c r="C22" s="295"/>
      <c r="D22" s="14"/>
      <c r="E22" s="14"/>
      <c r="F22" s="14"/>
    </row>
    <row r="23" spans="1:6" ht="15.95" customHeight="1" x14ac:dyDescent="0.2">
      <c r="A23" s="155"/>
      <c r="B23" s="14"/>
      <c r="C23" s="295"/>
      <c r="D23" s="14"/>
      <c r="E23" s="14"/>
      <c r="F23" s="14"/>
    </row>
    <row r="24" spans="1:6" ht="15.95" customHeight="1" thickBot="1" x14ac:dyDescent="0.25">
      <c r="A24" s="24"/>
      <c r="B24" s="15"/>
      <c r="C24" s="296"/>
      <c r="D24" s="15"/>
      <c r="E24" s="15"/>
      <c r="F24" s="15"/>
    </row>
    <row r="25" spans="1:6" s="26" customFormat="1" ht="18" customHeight="1" thickBot="1" x14ac:dyDescent="0.25">
      <c r="A25" s="50" t="s">
        <v>39</v>
      </c>
      <c r="B25" s="25">
        <f>SUM(B7:B24)</f>
        <v>647704634</v>
      </c>
      <c r="C25" s="37"/>
      <c r="D25" s="25">
        <f>SUM(D7:D24)</f>
        <v>11916000</v>
      </c>
      <c r="E25" s="25">
        <f>SUM(E7:E24)</f>
        <v>616333101</v>
      </c>
      <c r="F25" s="25">
        <f>SUM(F7:F24)</f>
        <v>21773853</v>
      </c>
    </row>
  </sheetData>
  <mergeCells count="2">
    <mergeCell ref="B1:F1"/>
    <mergeCell ref="A3:F3"/>
  </mergeCells>
  <phoneticPr fontId="23" type="noConversion"/>
  <printOptions horizontalCentered="1"/>
  <pageMargins left="0.61" right="0.52" top="1.02" bottom="0.98425196850393704" header="0.78740157480314965" footer="0.78740157480314965"/>
  <pageSetup paperSize="9" scale="9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2">
    <tabColor theme="8"/>
  </sheetPr>
  <dimension ref="A1:F25"/>
  <sheetViews>
    <sheetView topLeftCell="B1" zoomScale="120" zoomScaleNormal="120" workbookViewId="0">
      <selection activeCell="N20" sqref="N20"/>
    </sheetView>
  </sheetViews>
  <sheetFormatPr defaultRowHeight="12.75" x14ac:dyDescent="0.2"/>
  <cols>
    <col min="1" max="1" width="54.1640625" style="21" customWidth="1"/>
    <col min="2" max="2" width="15.6640625" style="20" customWidth="1"/>
    <col min="3" max="3" width="16.33203125" style="20" customWidth="1"/>
    <col min="4" max="5" width="18" style="20" customWidth="1"/>
    <col min="6" max="6" width="16.6640625" style="20" customWidth="1"/>
    <col min="7" max="8" width="12.83203125" style="20" customWidth="1"/>
    <col min="9" max="9" width="13.83203125" style="20" customWidth="1"/>
    <col min="10" max="16384" width="9.33203125" style="20"/>
  </cols>
  <sheetData>
    <row r="1" spans="1:6" ht="20.45" customHeight="1" x14ac:dyDescent="0.2">
      <c r="A1" s="196"/>
      <c r="B1" s="547" t="str">
        <f>CONCATENATE("4. melléklet ",IB_ALAPADATOK!A7," ",IB_ALAPADATOK!B7," ",IB_ALAPADATOK!C7," ",IB_ALAPADATOK!D7)</f>
        <v>4. melléklet a 2024. I. félévi költségvetési tájékoztatóhoz</v>
      </c>
      <c r="C1" s="547"/>
      <c r="D1" s="547"/>
      <c r="E1" s="547"/>
      <c r="F1" s="547"/>
    </row>
    <row r="2" spans="1:6" x14ac:dyDescent="0.2">
      <c r="A2" s="196"/>
      <c r="B2" s="193"/>
      <c r="C2" s="193"/>
      <c r="D2" s="193"/>
      <c r="E2" s="193"/>
      <c r="F2" s="193"/>
    </row>
    <row r="3" spans="1:6" ht="24.75" customHeight="1" x14ac:dyDescent="0.2">
      <c r="A3" s="549" t="s">
        <v>1</v>
      </c>
      <c r="B3" s="549"/>
      <c r="C3" s="549"/>
      <c r="D3" s="549"/>
      <c r="E3" s="549"/>
      <c r="F3" s="549"/>
    </row>
    <row r="4" spans="1:6" ht="23.25" customHeight="1" thickBot="1" x14ac:dyDescent="0.25">
      <c r="A4" s="196"/>
      <c r="B4" s="193"/>
      <c r="C4" s="193"/>
      <c r="D4" s="193"/>
      <c r="E4" s="193"/>
      <c r="F4" s="193"/>
    </row>
    <row r="5" spans="1:6" s="22" customFormat="1" ht="48.75" customHeight="1" thickBot="1" x14ac:dyDescent="0.25">
      <c r="A5" s="198" t="s">
        <v>43</v>
      </c>
      <c r="B5" s="199" t="s">
        <v>41</v>
      </c>
      <c r="C5" s="199" t="s">
        <v>42</v>
      </c>
      <c r="D5" s="49" t="str">
        <f>+IB_3.sz.mell.!D5</f>
        <v>Felhasználás   2023. XII. 31-ig</v>
      </c>
      <c r="E5" s="49" t="str">
        <f>+CONCATENATE(LEFT(IB_ÖSSZEFÜGGÉSEK!A6,4),". évi",CHAR(10),"módosított előirányzat")</f>
        <v>2024. évi
módosított előirányzat</v>
      </c>
      <c r="F5" s="49" t="str">
        <f>+CONCATENATE("Teljesítés ",IB_ALAPADATOK!B7,IB_ALAPADATOK!C9,"-ig")</f>
        <v>Teljesítés 2024. VI. 30.-ig</v>
      </c>
    </row>
    <row r="6" spans="1:6" ht="15.2" customHeight="1" thickBot="1" x14ac:dyDescent="0.25">
      <c r="A6" s="274" t="s">
        <v>190</v>
      </c>
      <c r="B6" s="275" t="s">
        <v>191</v>
      </c>
      <c r="C6" s="275" t="s">
        <v>192</v>
      </c>
      <c r="D6" s="275" t="s">
        <v>194</v>
      </c>
      <c r="E6" s="275" t="s">
        <v>193</v>
      </c>
      <c r="F6" s="275" t="s">
        <v>195</v>
      </c>
    </row>
    <row r="7" spans="1:6" ht="15.95" customHeight="1" x14ac:dyDescent="0.2">
      <c r="A7" s="400" t="s">
        <v>518</v>
      </c>
      <c r="B7" s="28">
        <v>20316000</v>
      </c>
      <c r="C7" s="401" t="s">
        <v>506</v>
      </c>
      <c r="D7" s="28"/>
      <c r="E7" s="28">
        <v>22765633</v>
      </c>
      <c r="F7" s="28">
        <v>955000</v>
      </c>
    </row>
    <row r="8" spans="1:6" x14ac:dyDescent="0.2">
      <c r="A8" s="400" t="s">
        <v>519</v>
      </c>
      <c r="B8" s="28">
        <v>16300000</v>
      </c>
      <c r="C8" s="401" t="s">
        <v>506</v>
      </c>
      <c r="D8" s="28"/>
      <c r="E8" s="28">
        <v>16300000</v>
      </c>
      <c r="F8" s="28"/>
    </row>
    <row r="9" spans="1:6" ht="24" x14ac:dyDescent="0.2">
      <c r="A9" s="400" t="s">
        <v>520</v>
      </c>
      <c r="B9" s="28">
        <v>1000000</v>
      </c>
      <c r="C9" s="401" t="s">
        <v>506</v>
      </c>
      <c r="D9" s="28"/>
      <c r="E9" s="28">
        <v>1000000</v>
      </c>
      <c r="F9" s="28"/>
    </row>
    <row r="10" spans="1:6" ht="15.95" customHeight="1" x14ac:dyDescent="0.2">
      <c r="A10" s="27"/>
      <c r="B10" s="28"/>
      <c r="C10" s="297"/>
      <c r="D10" s="28"/>
      <c r="E10" s="28"/>
      <c r="F10" s="28"/>
    </row>
    <row r="11" spans="1:6" ht="15.95" customHeight="1" x14ac:dyDescent="0.2">
      <c r="A11" s="27"/>
      <c r="B11" s="28"/>
      <c r="C11" s="297"/>
      <c r="D11" s="28"/>
      <c r="E11" s="28"/>
      <c r="F11" s="28"/>
    </row>
    <row r="12" spans="1:6" ht="15.95" customHeight="1" x14ac:dyDescent="0.2">
      <c r="A12" s="27"/>
      <c r="B12" s="28"/>
      <c r="C12" s="297"/>
      <c r="D12" s="28"/>
      <c r="E12" s="28"/>
      <c r="F12" s="28"/>
    </row>
    <row r="13" spans="1:6" ht="15.95" customHeight="1" x14ac:dyDescent="0.2">
      <c r="A13" s="27"/>
      <c r="B13" s="28"/>
      <c r="C13" s="297"/>
      <c r="D13" s="28"/>
      <c r="E13" s="28"/>
      <c r="F13" s="28"/>
    </row>
    <row r="14" spans="1:6" ht="15.95" customHeight="1" x14ac:dyDescent="0.2">
      <c r="A14" s="27"/>
      <c r="B14" s="28"/>
      <c r="C14" s="297"/>
      <c r="D14" s="28"/>
      <c r="E14" s="28"/>
      <c r="F14" s="28"/>
    </row>
    <row r="15" spans="1:6" ht="15.95" customHeight="1" x14ac:dyDescent="0.2">
      <c r="A15" s="27"/>
      <c r="B15" s="28"/>
      <c r="C15" s="297"/>
      <c r="D15" s="28"/>
      <c r="E15" s="28"/>
      <c r="F15" s="28"/>
    </row>
    <row r="16" spans="1:6" ht="15.95" customHeight="1" x14ac:dyDescent="0.2">
      <c r="A16" s="27"/>
      <c r="B16" s="28"/>
      <c r="C16" s="297"/>
      <c r="D16" s="28"/>
      <c r="E16" s="28"/>
      <c r="F16" s="28"/>
    </row>
    <row r="17" spans="1:6" ht="15.95" customHeight="1" x14ac:dyDescent="0.2">
      <c r="A17" s="27"/>
      <c r="B17" s="28"/>
      <c r="C17" s="297"/>
      <c r="D17" s="28"/>
      <c r="E17" s="28"/>
      <c r="F17" s="28"/>
    </row>
    <row r="18" spans="1:6" ht="15.95" customHeight="1" x14ac:dyDescent="0.2">
      <c r="A18" s="27"/>
      <c r="B18" s="28"/>
      <c r="C18" s="297"/>
      <c r="D18" s="28"/>
      <c r="E18" s="28"/>
      <c r="F18" s="28"/>
    </row>
    <row r="19" spans="1:6" ht="15.95" customHeight="1" x14ac:dyDescent="0.2">
      <c r="A19" s="27"/>
      <c r="B19" s="28"/>
      <c r="C19" s="297"/>
      <c r="D19" s="28"/>
      <c r="E19" s="28"/>
      <c r="F19" s="28"/>
    </row>
    <row r="20" spans="1:6" ht="15.95" customHeight="1" x14ac:dyDescent="0.2">
      <c r="A20" s="27"/>
      <c r="B20" s="28"/>
      <c r="C20" s="297"/>
      <c r="D20" s="28"/>
      <c r="E20" s="28"/>
      <c r="F20" s="28"/>
    </row>
    <row r="21" spans="1:6" ht="15.95" customHeight="1" x14ac:dyDescent="0.2">
      <c r="A21" s="27"/>
      <c r="B21" s="28"/>
      <c r="C21" s="297"/>
      <c r="D21" s="28"/>
      <c r="E21" s="28"/>
      <c r="F21" s="28"/>
    </row>
    <row r="22" spans="1:6" ht="15.95" customHeight="1" x14ac:dyDescent="0.2">
      <c r="A22" s="27"/>
      <c r="B22" s="28"/>
      <c r="C22" s="297"/>
      <c r="D22" s="28"/>
      <c r="E22" s="28"/>
      <c r="F22" s="28"/>
    </row>
    <row r="23" spans="1:6" ht="15.95" customHeight="1" x14ac:dyDescent="0.2">
      <c r="A23" s="27"/>
      <c r="B23" s="28"/>
      <c r="C23" s="297"/>
      <c r="D23" s="28"/>
      <c r="E23" s="28"/>
      <c r="F23" s="28"/>
    </row>
    <row r="24" spans="1:6" ht="15.95" customHeight="1" thickBot="1" x14ac:dyDescent="0.25">
      <c r="A24" s="27"/>
      <c r="B24" s="28"/>
      <c r="C24" s="297"/>
      <c r="D24" s="28"/>
      <c r="E24" s="28"/>
      <c r="F24" s="28"/>
    </row>
    <row r="25" spans="1:6" s="26" customFormat="1" ht="18" customHeight="1" thickBot="1" x14ac:dyDescent="0.25">
      <c r="A25" s="50" t="s">
        <v>39</v>
      </c>
      <c r="B25" s="51">
        <f>SUM(B7:B24)</f>
        <v>37616000</v>
      </c>
      <c r="C25" s="38"/>
      <c r="D25" s="51">
        <f>SUM(D7:D24)</f>
        <v>0</v>
      </c>
      <c r="E25" s="51">
        <f>SUM(E7:E24)</f>
        <v>40065633</v>
      </c>
      <c r="F25" s="51">
        <f>SUM(F7:F24)</f>
        <v>955000</v>
      </c>
    </row>
  </sheetData>
  <mergeCells count="2">
    <mergeCell ref="B1:F1"/>
    <mergeCell ref="A3:F3"/>
  </mergeCells>
  <printOptions horizontalCentered="1"/>
  <pageMargins left="0.65" right="0.78740157480314965" top="1.2369791666666667" bottom="0.98425196850393704" header="0.78740157480314965" footer="0.78740157480314965"/>
  <pageSetup paperSize="9" scale="91" orientation="landscape" horizontalDpi="300" verticalDpi="300" r:id="rId1"/>
  <headerFooter alignWithMargins="0">
    <oddHeader xml:space="preserve">&amp;R
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5</vt:i4>
      </vt:variant>
    </vt:vector>
  </HeadingPairs>
  <TitlesOfParts>
    <vt:vector size="21" baseType="lpstr">
      <vt:lpstr>IB_TARTALOMJEGYZÉK</vt:lpstr>
      <vt:lpstr>IB_ALAPADATOK</vt:lpstr>
      <vt:lpstr>IB_ÖSSZEFÜGGÉSEK</vt:lpstr>
      <vt:lpstr>IB_1.1.sz.mell.</vt:lpstr>
      <vt:lpstr>IB_2.1.sz.mell</vt:lpstr>
      <vt:lpstr>IB_2.2.sz.mell</vt:lpstr>
      <vt:lpstr>IB_ELLENŐRZÉS</vt:lpstr>
      <vt:lpstr>IB_3.sz.mell.</vt:lpstr>
      <vt:lpstr>IB_4.sz.mell.</vt:lpstr>
      <vt:lpstr>IB_5.1.sz.mell</vt:lpstr>
      <vt:lpstr>IB_5.2.sz.mell</vt:lpstr>
      <vt:lpstr>IB_5.3.sz.mell</vt:lpstr>
      <vt:lpstr>ELLENŐRZÉS_IB</vt:lpstr>
      <vt:lpstr>IB_6.sz.mell</vt:lpstr>
      <vt:lpstr>IB_7.sz.mell</vt:lpstr>
      <vt:lpstr>IB_8.sz.mell</vt:lpstr>
      <vt:lpstr>IB_5.1.sz.mell!Nyomtatási_cím</vt:lpstr>
      <vt:lpstr>IB_5.2.sz.mell!Nyomtatási_cím</vt:lpstr>
      <vt:lpstr>IB_5.3.sz.mell!Nyomtatási_cím</vt:lpstr>
      <vt:lpstr>ELLENŐRZÉS_IB!Nyomtatási_terület</vt:lpstr>
      <vt:lpstr>IB_1.1.sz.mell.!Nyomtatási_terület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Pénzügy1</cp:lastModifiedBy>
  <cp:lastPrinted>2024-08-14T08:52:13Z</cp:lastPrinted>
  <dcterms:created xsi:type="dcterms:W3CDTF">1999-10-30T10:30:45Z</dcterms:created>
  <dcterms:modified xsi:type="dcterms:W3CDTF">2024-09-05T08:13:58Z</dcterms:modified>
</cp:coreProperties>
</file>