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estulet\előterjesztések\2024\2024.12.11\KÉSZ! 209.sz.et. Bát-kom 2025. évi üzleti terv elfogadása (Anna)\"/>
    </mc:Choice>
  </mc:AlternateContent>
  <bookViews>
    <workbookView xWindow="0" yWindow="0" windowWidth="28800" windowHeight="12330"/>
  </bookViews>
  <sheets>
    <sheet name="2025" sheetId="1" r:id="rId1"/>
  </sheets>
  <definedNames>
    <definedName name="_xlnm.Print_Area" localSheetId="0">'2025'!$A$1:$E$276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8" i="1" l="1"/>
  <c r="B239" i="1" l="1"/>
  <c r="B238" i="1"/>
  <c r="C238" i="1" s="1"/>
  <c r="E238" i="1" s="1"/>
  <c r="B237" i="1"/>
  <c r="B236" i="1"/>
  <c r="B235" i="1"/>
  <c r="E173" i="1"/>
  <c r="E139" i="1"/>
  <c r="D62" i="1" l="1"/>
  <c r="E61" i="1"/>
  <c r="E37" i="1" l="1"/>
  <c r="D23" i="1"/>
  <c r="D40" i="1"/>
  <c r="E28" i="1"/>
  <c r="B264" i="1"/>
  <c r="E58" i="1"/>
  <c r="E57" i="1"/>
  <c r="E56" i="1"/>
  <c r="E59" i="1"/>
  <c r="E23" i="1"/>
  <c r="E24" i="1"/>
  <c r="B190" i="1"/>
  <c r="B53" i="1"/>
  <c r="B22" i="1"/>
  <c r="B21" i="1"/>
  <c r="C21" i="1" s="1"/>
  <c r="E60" i="1" l="1"/>
  <c r="E101" i="1"/>
  <c r="E55" i="1" l="1"/>
  <c r="B74" i="1"/>
  <c r="D77" i="1"/>
  <c r="D75" i="1"/>
  <c r="B129" i="1"/>
  <c r="B153" i="1"/>
  <c r="C153" i="1" s="1"/>
  <c r="B3" i="1"/>
  <c r="E122" i="1" l="1"/>
  <c r="E46" i="1"/>
  <c r="B259" i="1" s="1"/>
  <c r="B265" i="1" l="1"/>
  <c r="B267" i="1"/>
  <c r="B268" i="1" s="1"/>
  <c r="D272" i="1"/>
  <c r="D274" i="1"/>
  <c r="B225" i="1" l="1"/>
  <c r="C119" i="1"/>
  <c r="B119" i="1"/>
  <c r="D119" i="1"/>
  <c r="C225" i="1" s="1"/>
  <c r="E117" i="1"/>
  <c r="E116" i="1"/>
  <c r="E115" i="1"/>
  <c r="E114" i="1"/>
  <c r="E118" i="1" l="1"/>
  <c r="E119" i="1" s="1"/>
  <c r="E125" i="1" l="1"/>
  <c r="E123" i="1"/>
  <c r="D225" i="1" s="1"/>
  <c r="E225" i="1" s="1"/>
  <c r="D204" i="1" l="1"/>
  <c r="B262" i="1" l="1"/>
  <c r="B261" i="1"/>
  <c r="B260" i="1"/>
  <c r="B258" i="1"/>
  <c r="B263" i="1" s="1"/>
  <c r="B269" i="1" s="1"/>
  <c r="B222" i="1"/>
  <c r="D241" i="1"/>
  <c r="E169" i="1" l="1"/>
  <c r="E168" i="1"/>
  <c r="E175" i="1"/>
  <c r="E8" i="1"/>
  <c r="E107" i="1"/>
  <c r="E146" i="1" l="1"/>
  <c r="B85" i="1" l="1"/>
  <c r="E89" i="1"/>
  <c r="D154" i="1" l="1"/>
  <c r="D130" i="1"/>
  <c r="E6" i="1" l="1"/>
  <c r="E9" i="1"/>
  <c r="E5" i="1"/>
  <c r="E254" i="1" l="1"/>
  <c r="E251" i="1"/>
  <c r="E250" i="1"/>
  <c r="E249" i="1"/>
  <c r="E248" i="1"/>
  <c r="E247" i="1"/>
  <c r="E246" i="1"/>
  <c r="E245" i="1"/>
  <c r="E244" i="1"/>
  <c r="E243" i="1"/>
  <c r="D242" i="1"/>
  <c r="E242" i="1" s="1"/>
  <c r="C239" i="1"/>
  <c r="E239" i="1" s="1"/>
  <c r="C235" i="1"/>
  <c r="B229" i="1"/>
  <c r="B223" i="1"/>
  <c r="A222" i="1"/>
  <c r="B220" i="1"/>
  <c r="E211" i="1"/>
  <c r="E213" i="1" s="1"/>
  <c r="E204" i="1"/>
  <c r="D275" i="1" s="1"/>
  <c r="E203" i="1"/>
  <c r="E202" i="1"/>
  <c r="E201" i="1"/>
  <c r="E200" i="1"/>
  <c r="E199" i="1"/>
  <c r="E198" i="1"/>
  <c r="E197" i="1"/>
  <c r="E196" i="1"/>
  <c r="E195" i="1"/>
  <c r="E194" i="1"/>
  <c r="E193" i="1"/>
  <c r="E192" i="1"/>
  <c r="C191" i="1"/>
  <c r="E191" i="1" s="1"/>
  <c r="C190" i="1"/>
  <c r="E182" i="1"/>
  <c r="B227" i="1" s="1"/>
  <c r="D176" i="1"/>
  <c r="C176" i="1"/>
  <c r="B176" i="1"/>
  <c r="E174" i="1"/>
  <c r="E172" i="1"/>
  <c r="E171" i="1"/>
  <c r="E170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41" i="1"/>
  <c r="E140" i="1"/>
  <c r="E138" i="1"/>
  <c r="E137" i="1"/>
  <c r="E136" i="1"/>
  <c r="E135" i="1"/>
  <c r="D134" i="1"/>
  <c r="E134" i="1" s="1"/>
  <c r="E133" i="1"/>
  <c r="E132" i="1"/>
  <c r="E131" i="1"/>
  <c r="E130" i="1"/>
  <c r="B142" i="1"/>
  <c r="B224" i="1"/>
  <c r="B104" i="1"/>
  <c r="E103" i="1"/>
  <c r="E102" i="1"/>
  <c r="E100" i="1"/>
  <c r="E99" i="1"/>
  <c r="E98" i="1"/>
  <c r="E97" i="1"/>
  <c r="D104" i="1"/>
  <c r="E96" i="1"/>
  <c r="D84" i="1"/>
  <c r="E83" i="1"/>
  <c r="E81" i="1"/>
  <c r="E80" i="1"/>
  <c r="E79" i="1"/>
  <c r="E78" i="1"/>
  <c r="E77" i="1"/>
  <c r="E76" i="1"/>
  <c r="E75" i="1"/>
  <c r="C74" i="1"/>
  <c r="E65" i="1"/>
  <c r="B62" i="1"/>
  <c r="E54" i="1"/>
  <c r="C53" i="1"/>
  <c r="E53" i="1" s="1"/>
  <c r="B221" i="1"/>
  <c r="E39" i="1"/>
  <c r="E38" i="1"/>
  <c r="E36" i="1"/>
  <c r="E35" i="1"/>
  <c r="E34" i="1"/>
  <c r="E33" i="1"/>
  <c r="E32" i="1"/>
  <c r="E31" i="1"/>
  <c r="E30" i="1"/>
  <c r="E29" i="1"/>
  <c r="E27" i="1"/>
  <c r="E26" i="1"/>
  <c r="E25" i="1"/>
  <c r="B40" i="1"/>
  <c r="E14" i="1"/>
  <c r="D10" i="1"/>
  <c r="C3" i="1"/>
  <c r="B10" i="1"/>
  <c r="C10" i="1" l="1"/>
  <c r="E3" i="1"/>
  <c r="C205" i="1"/>
  <c r="D142" i="1"/>
  <c r="C236" i="1"/>
  <c r="E236" i="1" s="1"/>
  <c r="E84" i="1"/>
  <c r="D273" i="1" s="1"/>
  <c r="D276" i="1" s="1"/>
  <c r="D85" i="1"/>
  <c r="E74" i="1"/>
  <c r="C85" i="1"/>
  <c r="D252" i="1"/>
  <c r="C62" i="1"/>
  <c r="E62" i="1" s="1"/>
  <c r="C222" i="1" s="1"/>
  <c r="E176" i="1"/>
  <c r="C227" i="1" s="1"/>
  <c r="D227" i="1" s="1"/>
  <c r="E227" i="1" s="1"/>
  <c r="E104" i="1"/>
  <c r="E82" i="1"/>
  <c r="B228" i="1"/>
  <c r="B205" i="1"/>
  <c r="E190" i="1"/>
  <c r="E205" i="1" s="1"/>
  <c r="C228" i="1" s="1"/>
  <c r="D205" i="1"/>
  <c r="E235" i="1"/>
  <c r="E241" i="1"/>
  <c r="B226" i="1"/>
  <c r="B230" i="1" s="1"/>
  <c r="C22" i="1"/>
  <c r="E22" i="1" s="1"/>
  <c r="C104" i="1"/>
  <c r="B252" i="1"/>
  <c r="C129" i="1"/>
  <c r="C142" i="1" s="1"/>
  <c r="C237" i="1"/>
  <c r="E129" i="1" l="1"/>
  <c r="E142" i="1" s="1"/>
  <c r="C226" i="1" s="1"/>
  <c r="D226" i="1" s="1"/>
  <c r="E226" i="1" s="1"/>
  <c r="C252" i="1"/>
  <c r="E110" i="1"/>
  <c r="E108" i="1"/>
  <c r="E85" i="1"/>
  <c r="E90" i="1" s="1"/>
  <c r="E92" i="1" s="1"/>
  <c r="E66" i="1"/>
  <c r="D222" i="1" s="1"/>
  <c r="C224" i="1"/>
  <c r="D224" i="1" s="1"/>
  <c r="E224" i="1" s="1"/>
  <c r="E184" i="1"/>
  <c r="E186" i="1" s="1"/>
  <c r="E10" i="1"/>
  <c r="C220" i="1" s="1"/>
  <c r="D220" i="1" s="1"/>
  <c r="D228" i="1"/>
  <c r="E228" i="1" s="1"/>
  <c r="E215" i="1"/>
  <c r="E237" i="1"/>
  <c r="E252" i="1" s="1"/>
  <c r="C40" i="1"/>
  <c r="E21" i="1"/>
  <c r="E40" i="1" s="1"/>
  <c r="C223" i="1" l="1"/>
  <c r="D223" i="1" s="1"/>
  <c r="E223" i="1" s="1"/>
  <c r="E147" i="1"/>
  <c r="E149" i="1" s="1"/>
  <c r="E68" i="1"/>
  <c r="E222" i="1" s="1"/>
  <c r="E15" i="1"/>
  <c r="E17" i="1" s="1"/>
  <c r="C229" i="1"/>
  <c r="D229" i="1" s="1"/>
  <c r="E229" i="1" s="1"/>
  <c r="E255" i="1"/>
  <c r="C221" i="1"/>
  <c r="E47" i="1"/>
  <c r="E49" i="1" s="1"/>
  <c r="E220" i="1"/>
  <c r="D221" i="1" l="1"/>
  <c r="C230" i="1"/>
  <c r="E221" i="1" l="1"/>
  <c r="E230" i="1" s="1"/>
  <c r="D230" i="1"/>
  <c r="E231" i="1" s="1"/>
</calcChain>
</file>

<file path=xl/sharedStrings.xml><?xml version="1.0" encoding="utf-8"?>
<sst xmlns="http://schemas.openxmlformats.org/spreadsheetml/2006/main" count="288" uniqueCount="167">
  <si>
    <t>Városi piac üzemeltetése</t>
  </si>
  <si>
    <t>Megnevezés</t>
  </si>
  <si>
    <t>Bér</t>
  </si>
  <si>
    <t>Bérjárulék</t>
  </si>
  <si>
    <t>Dologi kiadás összege</t>
  </si>
  <si>
    <t>Kiadások összesen</t>
  </si>
  <si>
    <t>Villany</t>
  </si>
  <si>
    <t>Munkaruha</t>
  </si>
  <si>
    <t>Épület karbantartás</t>
  </si>
  <si>
    <t>Anyagvásárlás- takarítóeszközök, tisztítószerek</t>
  </si>
  <si>
    <t>Kiadások összesen:</t>
  </si>
  <si>
    <t>Bevételek összesen</t>
  </si>
  <si>
    <t>Önkormányzati támogatás bevétele</t>
  </si>
  <si>
    <t>Bevételek összesen:</t>
  </si>
  <si>
    <t>Eredmény</t>
  </si>
  <si>
    <t>Általános költségek fedezete</t>
  </si>
  <si>
    <t>Városüzemeltetés, zöldterület karbantartás</t>
  </si>
  <si>
    <t>Játszótér üzemeltetés</t>
  </si>
  <si>
    <t>Védőruha, védőeszköz</t>
  </si>
  <si>
    <t>Parkgondozási, kertészeti anyagok</t>
  </si>
  <si>
    <t>Vízdíj - Közkút, parkok</t>
  </si>
  <si>
    <t>Biztosítás díjak</t>
  </si>
  <si>
    <t>Általános felelősségbiztosítás</t>
  </si>
  <si>
    <t>Gépjárművek üzemanyag ktg.</t>
  </si>
  <si>
    <t>Iseki karbantartás</t>
  </si>
  <si>
    <t xml:space="preserve">Gépjárművek fenntartási költsége IVECO, Volkswagen LT, Daevo, </t>
  </si>
  <si>
    <t>Fűnyíró költségei</t>
  </si>
  <si>
    <t>MTZ karbantartás</t>
  </si>
  <si>
    <t>Vásárolt szolgáltatás</t>
  </si>
  <si>
    <t>ÉCS</t>
  </si>
  <si>
    <t>Városüzemeltetés, zöldterület karbantartás - Önkormányzati támogatása</t>
  </si>
  <si>
    <t>Híd és Közút üzemeltetés</t>
  </si>
  <si>
    <t>Híd és Közút üzemeltetés Önkormányzati támogatás:</t>
  </si>
  <si>
    <t>Takarítási tevékenység</t>
  </si>
  <si>
    <t>Eü költség- oltás</t>
  </si>
  <si>
    <t>Tisztítószerek</t>
  </si>
  <si>
    <t>Egyéb anyag</t>
  </si>
  <si>
    <t>Javítási karbantartási költség</t>
  </si>
  <si>
    <t xml:space="preserve">Eszközök pótlása </t>
  </si>
  <si>
    <t>Szerződés szerint:</t>
  </si>
  <si>
    <t xml:space="preserve">Áramdíj </t>
  </si>
  <si>
    <t xml:space="preserve">Vízdíj </t>
  </si>
  <si>
    <t>Egyéb üzemi szolgáltatások</t>
  </si>
  <si>
    <t>Vagyonvédelmi kiadások</t>
  </si>
  <si>
    <t>Önkormányzati támogatás</t>
  </si>
  <si>
    <t>Sportcsarnok üzemeltetés, fenntartása</t>
  </si>
  <si>
    <t xml:space="preserve"> Alkalmazott, gondnok +takarító (2 fő)</t>
  </si>
  <si>
    <t>Gázdíj</t>
  </si>
  <si>
    <t>Tisztítószer</t>
  </si>
  <si>
    <t>Karbantartási munkák</t>
  </si>
  <si>
    <t>ÉCS- függöny</t>
  </si>
  <si>
    <t>Csarnok szolgáltatás használati díja (Tankerület+ külső szerződéses partnerek)</t>
  </si>
  <si>
    <t xml:space="preserve">Tanuszoda </t>
  </si>
  <si>
    <t>Egyéb igénybevett  szolgáltatások</t>
  </si>
  <si>
    <t>Bank - postaköltség</t>
  </si>
  <si>
    <t>Telefon költség</t>
  </si>
  <si>
    <t xml:space="preserve">Gázdíj </t>
  </si>
  <si>
    <t>Uszoda vegyszerek</t>
  </si>
  <si>
    <t>Szőnyeg bérlet, mosdóhigénia</t>
  </si>
  <si>
    <t>Hulladékszállítás</t>
  </si>
  <si>
    <t>Víz mintavétel, szakértői tev.</t>
  </si>
  <si>
    <t>Zöldterület karbantartási, parkgondozás</t>
  </si>
  <si>
    <t>Műszaki karbantartás-szerződéses</t>
  </si>
  <si>
    <t>Uszoda belépők bevétele</t>
  </si>
  <si>
    <t>Uszoda szolgáltatás bevétele (Tankerület)</t>
  </si>
  <si>
    <t>II.Géza Gimnázium kedvezmény-kompenzálás</t>
  </si>
  <si>
    <t>Védőruha, védőeszközök</t>
  </si>
  <si>
    <t>Karbantartási anyagok</t>
  </si>
  <si>
    <t>Egyéb kenőanyagok</t>
  </si>
  <si>
    <t xml:space="preserve">Szerszámok, berendezések </t>
  </si>
  <si>
    <t>Igénybevett szolgáltatás</t>
  </si>
  <si>
    <t>Általános felelősség biztosítás</t>
  </si>
  <si>
    <t>Biztosítási díj</t>
  </si>
  <si>
    <t>Gépjármű MAN,Ford, pocklain karbantartás, javítás</t>
  </si>
  <si>
    <t>Gépjármű MAN, Ford, Pocklain üzemanyag költségei</t>
  </si>
  <si>
    <t>Gépjármű vizsgáztatási díj</t>
  </si>
  <si>
    <t>IP villanyköltség</t>
  </si>
  <si>
    <t>Écs (Iveco busz 1,5 mft)</t>
  </si>
  <si>
    <t>Építési, felújítási munkák bevétel</t>
  </si>
  <si>
    <t>IP üzemeltetés</t>
  </si>
  <si>
    <t>Összesítő kimutatás</t>
  </si>
  <si>
    <t xml:space="preserve"> Bevétel</t>
  </si>
  <si>
    <t xml:space="preserve"> Kiadás</t>
  </si>
  <si>
    <t>Általános költségekhez történő hozzájárulás</t>
  </si>
  <si>
    <t>Városüzemeltetés, parkgondozás</t>
  </si>
  <si>
    <t>Sportcsarnok üzemeltetése</t>
  </si>
  <si>
    <t>Tanuszoda</t>
  </si>
  <si>
    <t>Ügyviteli és általános feladatok</t>
  </si>
  <si>
    <t>Mindösszesen:</t>
  </si>
  <si>
    <t>Tervezett mérleg szerinti eredmény:</t>
  </si>
  <si>
    <t>Ügyviteli és általános kiadások</t>
  </si>
  <si>
    <t>Felügyelő Bizottság Tiszt. Díj</t>
  </si>
  <si>
    <t>Könyvelési díj</t>
  </si>
  <si>
    <t>Telefon, internet költsége</t>
  </si>
  <si>
    <t>Gázdíj telephely</t>
  </si>
  <si>
    <t>Vízdíj telephely</t>
  </si>
  <si>
    <t>Nyomtatványok, irodaszerek beszerzése</t>
  </si>
  <si>
    <t xml:space="preserve"> Alkalmassági vizsgálat díja</t>
  </si>
  <si>
    <t>Munkavédelmi megbízott díja</t>
  </si>
  <si>
    <t>Adók , egyéb befizetések</t>
  </si>
  <si>
    <t>Bevételek</t>
  </si>
  <si>
    <t>Önkormányzati támogatás, kompenzáció</t>
  </si>
  <si>
    <t>Városüzemeltetési és zöldterület karbantartási tevékenység</t>
  </si>
  <si>
    <t>Közfeladatellátás összesen:</t>
  </si>
  <si>
    <t>Tanuszoda működtetés</t>
  </si>
  <si>
    <t>Mindösszesen</t>
  </si>
  <si>
    <t>Éves ÉCS bontása:</t>
  </si>
  <si>
    <t>Csarnok (függöny)</t>
  </si>
  <si>
    <t>Építőipari és karbantartó tevékenység (ebből IVECO 1,5 mft)</t>
  </si>
  <si>
    <t>Összesen:</t>
  </si>
  <si>
    <t>Takarító, piacfelügyelő bére (2fő)</t>
  </si>
  <si>
    <t>Tanuszoda alkalmazott (4 fő)</t>
  </si>
  <si>
    <t>Zöldterület karbantartók (4 fő)</t>
  </si>
  <si>
    <t xml:space="preserve">Áramdíj telephely </t>
  </si>
  <si>
    <t>rendezvények bevétele</t>
  </si>
  <si>
    <t>Önkormányzati intézmények, épületek üzemeltetése, fenntartása</t>
  </si>
  <si>
    <t>Nyomtatványok, irodaszer</t>
  </si>
  <si>
    <t>Rakodógép kezelő bére (1 fő)</t>
  </si>
  <si>
    <t>Épületkarbantartás költsége</t>
  </si>
  <si>
    <t>Intézmény üzemeltetés</t>
  </si>
  <si>
    <t>Takarítóeszközök</t>
  </si>
  <si>
    <t>Karbantartás</t>
  </si>
  <si>
    <t>Szemétszállítás díja</t>
  </si>
  <si>
    <t>Szerződés szerinti bérleti díj</t>
  </si>
  <si>
    <t>Telefonszla</t>
  </si>
  <si>
    <t>Szőnyeg bérlet, tisztítás</t>
  </si>
  <si>
    <t>Napkollektor karbantartás</t>
  </si>
  <si>
    <t>Vízellátó berendezések karbantartása</t>
  </si>
  <si>
    <t>Ellektromos berendezések karbantartása</t>
  </si>
  <si>
    <t>Vegyszeradagoló javítás</t>
  </si>
  <si>
    <t>Sportcsarnok üzemeltetés</t>
  </si>
  <si>
    <t xml:space="preserve">II. Géza Gimnázium 20% kedvezmény kompenzálás </t>
  </si>
  <si>
    <t>Kártevő mentesítés</t>
  </si>
  <si>
    <t>Közfeladat ellátás keretében</t>
  </si>
  <si>
    <t>Szolgáltatási szerződés keretében</t>
  </si>
  <si>
    <t>Intézmény üzemeltetés- közfeladat keretében</t>
  </si>
  <si>
    <t>Intézmény üzemeltetés- szolgáltatási szerződés keretében</t>
  </si>
  <si>
    <t>Intézmény üzemeltetés-szolgáltatási szerződés szerint</t>
  </si>
  <si>
    <t>Szolgáltatási szerződés:</t>
  </si>
  <si>
    <t>Tanuszoda működtetés:</t>
  </si>
  <si>
    <t>Műszaki karbantartás (2 fő)</t>
  </si>
  <si>
    <t>kártevőmentesítés</t>
  </si>
  <si>
    <t>klíma, kazánkarbantartás</t>
  </si>
  <si>
    <t xml:space="preserve">Konténeres hulladékszállítás költsége </t>
  </si>
  <si>
    <t>Karbantartó 1 fő</t>
  </si>
  <si>
    <t>Rácz töltés- zsilip felújítás</t>
  </si>
  <si>
    <t>Önkormányzati utak és közútak síkosságmentesítése,anyag</t>
  </si>
  <si>
    <t>Önkormányzati bel- és külterületi utak kátyúzása, szolg.vásárlás</t>
  </si>
  <si>
    <t>Önkormányzati utak padkarendezése, szolg.vásárlás</t>
  </si>
  <si>
    <t>Burkolt csapadékvíz elvezető árkok karbantartása, anyag</t>
  </si>
  <si>
    <t>Önkormányzati csapadékvíz elvezető árkok karbantartása, szolg. vásárlás</t>
  </si>
  <si>
    <t>Hermann E. u. aszfalt II. rész, szolg.v.</t>
  </si>
  <si>
    <t>Burkolati jel festés, szolg.vásár.</t>
  </si>
  <si>
    <t>Melegvíz ellátás korsz.</t>
  </si>
  <si>
    <t>Eszköz beszerzés- 1 db fűkasza</t>
  </si>
  <si>
    <t>Petőfi u. 5 szennyvízbekötés költsége</t>
  </si>
  <si>
    <t>2025 évi összeg</t>
  </si>
  <si>
    <t>betanított munkás 1 fő+ segédm. 1 fő</t>
  </si>
  <si>
    <t>Takarítók bér és járulék kiadásai (5fő) Bátmetall 1 fő Gondozási központ fél fő, Könyvtár fél fő, hivatal 2 fő</t>
  </si>
  <si>
    <t>Környezethigiénia</t>
  </si>
  <si>
    <t>Ügyviteli alkalmazott 482.000,-Ft/hó</t>
  </si>
  <si>
    <t>Ügyviteli alkalmazott cafeteria 20.000,-Ft/hó</t>
  </si>
  <si>
    <t>Általános felelősségbiztosítás 606.800,-Ft lebontva területekre</t>
  </si>
  <si>
    <t>Építési és karbantartási tevékenység</t>
  </si>
  <si>
    <t>Építési és karbantartási tevékenység (+Váll tev.)</t>
  </si>
  <si>
    <t>Ügyvezető 700.000,-Ft/hó</t>
  </si>
  <si>
    <t>Ügyvezető költségtérítés 150.000,-Ft/hó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</si>
</sst>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i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4"/>
      <color rgb="FFFF0000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wrapText="1"/>
    </xf>
    <xf numFmtId="3" fontId="2" fillId="2" borderId="1" xfId="0" applyNumberFormat="1" applyFont="1" applyFill="1" applyBorder="1"/>
    <xf numFmtId="0" fontId="1" fillId="3" borderId="2" xfId="0" applyFont="1" applyFill="1" applyBorder="1" applyAlignment="1">
      <alignment wrapText="1"/>
    </xf>
    <xf numFmtId="3" fontId="1" fillId="3" borderId="2" xfId="0" applyNumberFormat="1" applyFont="1" applyFill="1" applyBorder="1"/>
    <xf numFmtId="3" fontId="1" fillId="3" borderId="2" xfId="0" applyNumberFormat="1" applyFont="1" applyFill="1" applyBorder="1" applyAlignment="1">
      <alignment wrapText="1"/>
    </xf>
    <xf numFmtId="3" fontId="1" fillId="3" borderId="3" xfId="0" applyNumberFormat="1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3" fontId="2" fillId="4" borderId="2" xfId="0" applyNumberFormat="1" applyFont="1" applyFill="1" applyBorder="1"/>
    <xf numFmtId="3" fontId="2" fillId="4" borderId="3" xfId="0" applyNumberFormat="1" applyFont="1" applyFill="1" applyBorder="1"/>
    <xf numFmtId="0" fontId="5" fillId="0" borderId="0" xfId="0" applyFont="1"/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1" fillId="3" borderId="3" xfId="0" applyFont="1" applyFill="1" applyBorder="1" applyAlignment="1">
      <alignment wrapText="1"/>
    </xf>
    <xf numFmtId="3" fontId="1" fillId="3" borderId="3" xfId="0" applyNumberFormat="1" applyFont="1" applyFill="1" applyBorder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1" fillId="4" borderId="0" xfId="0" applyFont="1" applyFill="1" applyAlignment="1">
      <alignment wrapText="1"/>
    </xf>
    <xf numFmtId="0" fontId="1" fillId="4" borderId="0" xfId="0" applyFont="1" applyFill="1"/>
    <xf numFmtId="3" fontId="1" fillId="4" borderId="0" xfId="0" applyNumberFormat="1" applyFont="1" applyFill="1"/>
    <xf numFmtId="0" fontId="1" fillId="0" borderId="0" xfId="0" applyFont="1" applyAlignment="1">
      <alignment wrapText="1"/>
    </xf>
    <xf numFmtId="3" fontId="1" fillId="0" borderId="0" xfId="0" applyNumberFormat="1" applyFont="1"/>
    <xf numFmtId="0" fontId="1" fillId="5" borderId="0" xfId="0" applyFont="1" applyFill="1" applyAlignment="1">
      <alignment wrapText="1"/>
    </xf>
    <xf numFmtId="3" fontId="1" fillId="5" borderId="0" xfId="0" applyNumberFormat="1" applyFont="1" applyFill="1"/>
    <xf numFmtId="0" fontId="1" fillId="6" borderId="3" xfId="0" applyFont="1" applyFill="1" applyBorder="1" applyAlignment="1">
      <alignment wrapText="1"/>
    </xf>
    <xf numFmtId="3" fontId="6" fillId="0" borderId="0" xfId="0" applyNumberFormat="1" applyFont="1"/>
    <xf numFmtId="3" fontId="1" fillId="6" borderId="3" xfId="0" applyNumberFormat="1" applyFont="1" applyFill="1" applyBorder="1"/>
    <xf numFmtId="3" fontId="2" fillId="0" borderId="2" xfId="0" applyNumberFormat="1" applyFont="1" applyBorder="1"/>
    <xf numFmtId="3" fontId="7" fillId="0" borderId="3" xfId="0" applyNumberFormat="1" applyFont="1" applyBorder="1"/>
    <xf numFmtId="3" fontId="1" fillId="3" borderId="4" xfId="0" applyNumberFormat="1" applyFont="1" applyFill="1" applyBorder="1"/>
    <xf numFmtId="0" fontId="6" fillId="0" borderId="0" xfId="0" applyFont="1" applyAlignment="1">
      <alignment wrapText="1"/>
    </xf>
    <xf numFmtId="3" fontId="1" fillId="0" borderId="5" xfId="0" applyNumberFormat="1" applyFont="1" applyBorder="1"/>
    <xf numFmtId="3" fontId="1" fillId="3" borderId="5" xfId="0" applyNumberFormat="1" applyFont="1" applyFill="1" applyBorder="1" applyAlignment="1">
      <alignment wrapText="1"/>
    </xf>
    <xf numFmtId="3" fontId="6" fillId="4" borderId="0" xfId="0" applyNumberFormat="1" applyFont="1" applyFill="1"/>
    <xf numFmtId="0" fontId="6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3" fontId="1" fillId="3" borderId="0" xfId="0" applyNumberFormat="1" applyFont="1" applyFill="1"/>
    <xf numFmtId="0" fontId="1" fillId="4" borderId="1" xfId="0" applyFont="1" applyFill="1" applyBorder="1" applyAlignment="1">
      <alignment wrapText="1"/>
    </xf>
    <xf numFmtId="3" fontId="1" fillId="4" borderId="1" xfId="0" applyNumberFormat="1" applyFont="1" applyFill="1" applyBorder="1"/>
    <xf numFmtId="0" fontId="0" fillId="4" borderId="0" xfId="0" applyFill="1"/>
    <xf numFmtId="3" fontId="2" fillId="4" borderId="2" xfId="0" applyNumberFormat="1" applyFont="1" applyFill="1" applyBorder="1" applyAlignment="1">
      <alignment wrapText="1"/>
    </xf>
    <xf numFmtId="0" fontId="0" fillId="0" borderId="0" xfId="0" applyFont="1"/>
    <xf numFmtId="0" fontId="2" fillId="4" borderId="0" xfId="0" applyFont="1" applyFill="1" applyBorder="1" applyAlignment="1">
      <alignment wrapText="1"/>
    </xf>
    <xf numFmtId="3" fontId="2" fillId="4" borderId="0" xfId="0" applyNumberFormat="1" applyFont="1" applyFill="1" applyBorder="1"/>
    <xf numFmtId="3" fontId="4" fillId="0" borderId="3" xfId="0" applyNumberFormat="1" applyFont="1" applyBorder="1"/>
    <xf numFmtId="0" fontId="1" fillId="0" borderId="3" xfId="0" applyFont="1" applyBorder="1" applyAlignment="1">
      <alignment wrapText="1"/>
    </xf>
    <xf numFmtId="3" fontId="1" fillId="4" borderId="3" xfId="0" applyNumberFormat="1" applyFont="1" applyFill="1" applyBorder="1"/>
    <xf numFmtId="0" fontId="8" fillId="0" borderId="0" xfId="0" applyFont="1"/>
    <xf numFmtId="3" fontId="1" fillId="3" borderId="0" xfId="0" applyNumberFormat="1" applyFont="1" applyFill="1" applyAlignment="1">
      <alignment wrapText="1"/>
    </xf>
    <xf numFmtId="0" fontId="9" fillId="0" borderId="0" xfId="0" applyFont="1"/>
    <xf numFmtId="0" fontId="1" fillId="4" borderId="3" xfId="0" applyFont="1" applyFill="1" applyBorder="1" applyAlignment="1">
      <alignment wrapText="1"/>
    </xf>
    <xf numFmtId="3" fontId="6" fillId="4" borderId="3" xfId="0" applyNumberFormat="1" applyFont="1" applyFill="1" applyBorder="1"/>
    <xf numFmtId="0" fontId="1" fillId="4" borderId="7" xfId="0" applyFont="1" applyFill="1" applyBorder="1" applyAlignment="1">
      <alignment wrapText="1"/>
    </xf>
    <xf numFmtId="3" fontId="1" fillId="4" borderId="7" xfId="0" applyNumberFormat="1" applyFont="1" applyFill="1" applyBorder="1"/>
    <xf numFmtId="0" fontId="2" fillId="0" borderId="7" xfId="0" applyFont="1" applyBorder="1" applyAlignment="1">
      <alignment wrapText="1"/>
    </xf>
    <xf numFmtId="3" fontId="2" fillId="0" borderId="7" xfId="0" applyNumberFormat="1" applyFont="1" applyBorder="1"/>
    <xf numFmtId="3" fontId="7" fillId="4" borderId="3" xfId="0" applyNumberFormat="1" applyFont="1" applyFill="1" applyBorder="1"/>
    <xf numFmtId="0" fontId="1" fillId="4" borderId="0" xfId="0" applyFont="1" applyFill="1" applyBorder="1" applyAlignment="1">
      <alignment wrapText="1"/>
    </xf>
    <xf numFmtId="3" fontId="1" fillId="4" borderId="0" xfId="0" applyNumberFormat="1" applyFont="1" applyFill="1" applyBorder="1"/>
    <xf numFmtId="0" fontId="1" fillId="7" borderId="0" xfId="0" applyFont="1" applyFill="1" applyAlignment="1">
      <alignment wrapText="1"/>
    </xf>
    <xf numFmtId="3" fontId="2" fillId="7" borderId="0" xfId="0" applyNumberFormat="1" applyFont="1" applyFill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/>
    <xf numFmtId="3" fontId="1" fillId="8" borderId="3" xfId="0" applyNumberFormat="1" applyFont="1" applyFill="1" applyBorder="1" applyAlignment="1">
      <alignment wrapText="1"/>
    </xf>
    <xf numFmtId="3" fontId="1" fillId="8" borderId="3" xfId="0" applyNumberFormat="1" applyFont="1" applyFill="1" applyBorder="1"/>
    <xf numFmtId="3" fontId="2" fillId="5" borderId="0" xfId="0" applyNumberFormat="1" applyFont="1" applyFill="1"/>
    <xf numFmtId="3" fontId="6" fillId="5" borderId="0" xfId="0" applyNumberFormat="1" applyFont="1" applyFill="1"/>
    <xf numFmtId="3" fontId="6" fillId="4" borderId="0" xfId="0" applyNumberFormat="1" applyFont="1" applyFill="1" applyBorder="1"/>
    <xf numFmtId="0" fontId="0" fillId="0" borderId="0" xfId="0" applyBorder="1"/>
    <xf numFmtId="0" fontId="3" fillId="0" borderId="3" xfId="0" applyFont="1" applyBorder="1" applyAlignment="1">
      <alignment wrapText="1"/>
    </xf>
    <xf numFmtId="3" fontId="10" fillId="0" borderId="3" xfId="0" applyNumberFormat="1" applyFont="1" applyBorder="1"/>
    <xf numFmtId="3" fontId="2" fillId="0" borderId="9" xfId="0" applyNumberFormat="1" applyFont="1" applyBorder="1"/>
    <xf numFmtId="0" fontId="1" fillId="9" borderId="3" xfId="0" applyFont="1" applyFill="1" applyBorder="1" applyAlignment="1">
      <alignment wrapText="1"/>
    </xf>
    <xf numFmtId="0" fontId="1" fillId="10" borderId="3" xfId="0" applyFont="1" applyFill="1" applyBorder="1" applyAlignment="1">
      <alignment wrapText="1"/>
    </xf>
    <xf numFmtId="3" fontId="1" fillId="10" borderId="3" xfId="0" applyNumberFormat="1" applyFont="1" applyFill="1" applyBorder="1"/>
    <xf numFmtId="3" fontId="2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3" fillId="0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3" fontId="1" fillId="10" borderId="3" xfId="0" applyNumberFormat="1" applyFont="1" applyFill="1" applyBorder="1" applyAlignment="1">
      <alignment wrapText="1"/>
    </xf>
    <xf numFmtId="0" fontId="1" fillId="11" borderId="3" xfId="0" applyFont="1" applyFill="1" applyBorder="1" applyAlignment="1">
      <alignment wrapText="1"/>
    </xf>
    <xf numFmtId="3" fontId="1" fillId="11" borderId="3" xfId="0" applyNumberFormat="1" applyFont="1" applyFill="1" applyBorder="1"/>
    <xf numFmtId="3" fontId="0" fillId="0" borderId="0" xfId="0" applyNumberFormat="1"/>
    <xf numFmtId="0" fontId="3" fillId="6" borderId="2" xfId="0" applyFont="1" applyFill="1" applyBorder="1" applyAlignment="1">
      <alignment wrapText="1"/>
    </xf>
    <xf numFmtId="0" fontId="11" fillId="4" borderId="8" xfId="0" applyFont="1" applyFill="1" applyBorder="1" applyAlignment="1">
      <alignment wrapText="1"/>
    </xf>
    <xf numFmtId="3" fontId="6" fillId="4" borderId="8" xfId="0" applyNumberFormat="1" applyFont="1" applyFill="1" applyBorder="1"/>
    <xf numFmtId="3" fontId="1" fillId="4" borderId="8" xfId="0" applyNumberFormat="1" applyFont="1" applyFill="1" applyBorder="1"/>
    <xf numFmtId="3" fontId="2" fillId="4" borderId="8" xfId="0" applyNumberFormat="1" applyFont="1" applyFill="1" applyBorder="1"/>
    <xf numFmtId="3" fontId="1" fillId="4" borderId="10" xfId="0" applyNumberFormat="1" applyFont="1" applyFill="1" applyBorder="1"/>
    <xf numFmtId="3" fontId="2" fillId="8" borderId="3" xfId="0" applyNumberFormat="1" applyFont="1" applyFill="1" applyBorder="1"/>
    <xf numFmtId="0" fontId="3" fillId="4" borderId="2" xfId="0" applyFont="1" applyFill="1" applyBorder="1" applyAlignment="1">
      <alignment wrapText="1"/>
    </xf>
    <xf numFmtId="0" fontId="12" fillId="6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3" fontId="1" fillId="4" borderId="0" xfId="0" applyNumberFormat="1" applyFont="1" applyFill="1" applyBorder="1" applyAlignment="1"/>
    <xf numFmtId="0" fontId="0" fillId="0" borderId="0" xfId="0" applyBorder="1" applyAlignment="1"/>
    <xf numFmtId="0" fontId="0" fillId="0" borderId="0" xfId="0" applyFont="1" applyBorder="1" applyAlignment="1"/>
    <xf numFmtId="3" fontId="1" fillId="4" borderId="6" xfId="0" applyNumberFormat="1" applyFont="1" applyFill="1" applyBorder="1" applyAlignment="1"/>
    <xf numFmtId="0" fontId="0" fillId="0" borderId="6" xfId="0" applyFont="1" applyBorder="1" applyAlignment="1"/>
    <xf numFmtId="0" fontId="3" fillId="12" borderId="2" xfId="0" applyFont="1" applyFill="1" applyBorder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8"/>
  <sheetViews>
    <sheetView tabSelected="1" topLeftCell="A229" workbookViewId="0">
      <selection activeCell="A236" sqref="A236"/>
    </sheetView>
  </sheetViews>
  <sheetFormatPr defaultRowHeight="15" x14ac:dyDescent="0.25"/>
  <cols>
    <col min="1" max="1" width="40.7109375" style="41" customWidth="1"/>
    <col min="2" max="2" width="19.42578125" bestFit="1" customWidth="1"/>
    <col min="3" max="3" width="17" bestFit="1" customWidth="1"/>
    <col min="4" max="4" width="31.85546875" style="41" bestFit="1" customWidth="1"/>
    <col min="5" max="5" width="19.85546875" style="41" customWidth="1"/>
    <col min="6" max="6" width="11.42578125" bestFit="1" customWidth="1"/>
    <col min="7" max="7" width="17" bestFit="1" customWidth="1"/>
    <col min="8" max="9" width="13.85546875" bestFit="1" customWidth="1"/>
  </cols>
  <sheetData>
    <row r="1" spans="1:10" ht="18" x14ac:dyDescent="0.25">
      <c r="A1" s="1" t="s">
        <v>0</v>
      </c>
      <c r="B1" s="2"/>
      <c r="C1" s="2"/>
      <c r="D1" s="2"/>
      <c r="E1" s="2"/>
    </row>
    <row r="2" spans="1:10" ht="36" x14ac:dyDescent="0.25">
      <c r="A2" s="3" t="s">
        <v>1</v>
      </c>
      <c r="B2" s="4" t="s">
        <v>2</v>
      </c>
      <c r="C2" s="4" t="s">
        <v>3</v>
      </c>
      <c r="D2" s="6" t="s">
        <v>4</v>
      </c>
      <c r="E2" s="6" t="s">
        <v>5</v>
      </c>
    </row>
    <row r="3" spans="1:10" ht="18" x14ac:dyDescent="0.25">
      <c r="A3" s="7" t="s">
        <v>110</v>
      </c>
      <c r="B3" s="8">
        <f>300840*12+353730*12+480000</f>
        <v>8334840</v>
      </c>
      <c r="C3" s="9">
        <f>B3*0.13</f>
        <v>1083529.2</v>
      </c>
      <c r="D3" s="8"/>
      <c r="E3" s="8">
        <f>SUM(B3:D3)</f>
        <v>9418369.1999999993</v>
      </c>
    </row>
    <row r="4" spans="1:10" ht="18" x14ac:dyDescent="0.25">
      <c r="A4" s="7" t="s">
        <v>6</v>
      </c>
      <c r="B4" s="8"/>
      <c r="C4" s="9"/>
      <c r="D4" s="8">
        <v>50000</v>
      </c>
      <c r="E4" s="8">
        <v>50000</v>
      </c>
      <c r="F4" s="10"/>
      <c r="G4" s="10"/>
      <c r="H4" s="10"/>
      <c r="I4" s="10"/>
      <c r="J4" s="10"/>
    </row>
    <row r="5" spans="1:10" ht="18" x14ac:dyDescent="0.25">
      <c r="A5" s="7" t="s">
        <v>7</v>
      </c>
      <c r="B5" s="9"/>
      <c r="C5" s="9"/>
      <c r="D5" s="9">
        <v>33000</v>
      </c>
      <c r="E5" s="9">
        <f>D5</f>
        <v>33000</v>
      </c>
    </row>
    <row r="6" spans="1:10" ht="18" x14ac:dyDescent="0.25">
      <c r="A6" s="7" t="s">
        <v>8</v>
      </c>
      <c r="B6" s="9"/>
      <c r="C6" s="9"/>
      <c r="D6" s="9">
        <v>135000</v>
      </c>
      <c r="E6" s="9">
        <f t="shared" ref="E6:E9" si="0">D6</f>
        <v>135000</v>
      </c>
    </row>
    <row r="7" spans="1:10" ht="18" x14ac:dyDescent="0.25">
      <c r="A7" s="84" t="s">
        <v>22</v>
      </c>
      <c r="B7" s="9"/>
      <c r="C7" s="9"/>
      <c r="D7" s="9">
        <v>50000</v>
      </c>
      <c r="E7" s="9">
        <v>50000</v>
      </c>
    </row>
    <row r="8" spans="1:10" ht="18" x14ac:dyDescent="0.25">
      <c r="A8" s="7" t="s">
        <v>132</v>
      </c>
      <c r="B8" s="9"/>
      <c r="C8" s="9"/>
      <c r="D8" s="9">
        <v>59500</v>
      </c>
      <c r="E8" s="9">
        <f>D8</f>
        <v>59500</v>
      </c>
    </row>
    <row r="9" spans="1:10" ht="39.75" customHeight="1" x14ac:dyDescent="0.25">
      <c r="A9" s="7" t="s">
        <v>9</v>
      </c>
      <c r="B9" s="12"/>
      <c r="C9" s="12"/>
      <c r="D9" s="12">
        <v>450000</v>
      </c>
      <c r="E9" s="9">
        <f t="shared" si="0"/>
        <v>450000</v>
      </c>
      <c r="F9" s="10"/>
      <c r="G9" s="10"/>
      <c r="H9" s="10"/>
      <c r="I9" s="10"/>
      <c r="J9" s="10"/>
    </row>
    <row r="10" spans="1:10" ht="18" x14ac:dyDescent="0.25">
      <c r="A10" s="13" t="s">
        <v>10</v>
      </c>
      <c r="B10" s="14">
        <f>SUM(B3:B6)</f>
        <v>8334840</v>
      </c>
      <c r="C10" s="14">
        <f>SUM(C3:C6)</f>
        <v>1083529.2</v>
      </c>
      <c r="D10" s="14">
        <f>SUM(D3:D9)</f>
        <v>777500</v>
      </c>
      <c r="E10" s="14">
        <f>SUM(E3:E9)</f>
        <v>10195869.199999999</v>
      </c>
    </row>
    <row r="11" spans="1:10" ht="18" x14ac:dyDescent="0.25">
      <c r="A11" s="15"/>
      <c r="B11" s="16"/>
      <c r="C11" s="16"/>
      <c r="D11" s="16"/>
      <c r="E11" s="16"/>
    </row>
    <row r="12" spans="1:10" ht="36" x14ac:dyDescent="0.25">
      <c r="A12" s="15"/>
      <c r="B12" s="16"/>
      <c r="C12" s="16"/>
      <c r="D12" s="16"/>
      <c r="E12" s="6" t="s">
        <v>11</v>
      </c>
    </row>
    <row r="13" spans="1:10" ht="36" x14ac:dyDescent="0.25">
      <c r="A13" s="17" t="s">
        <v>12</v>
      </c>
      <c r="B13" s="18"/>
      <c r="C13" s="18"/>
      <c r="D13" s="19"/>
      <c r="E13" s="19">
        <v>12000000</v>
      </c>
    </row>
    <row r="14" spans="1:10" ht="18" x14ac:dyDescent="0.25">
      <c r="A14" s="20" t="s">
        <v>13</v>
      </c>
      <c r="B14" s="21"/>
      <c r="C14" s="21"/>
      <c r="D14" s="21"/>
      <c r="E14" s="21">
        <f>SUM(E13)</f>
        <v>12000000</v>
      </c>
    </row>
    <row r="15" spans="1:10" ht="18" x14ac:dyDescent="0.25">
      <c r="A15" s="22" t="s">
        <v>14</v>
      </c>
      <c r="B15" s="23"/>
      <c r="C15" s="23"/>
      <c r="D15" s="23"/>
      <c r="E15" s="23">
        <f>E14-E10</f>
        <v>1804130.8000000007</v>
      </c>
    </row>
    <row r="16" spans="1:10" ht="18" x14ac:dyDescent="0.25">
      <c r="A16" s="17"/>
      <c r="B16" s="19"/>
      <c r="C16" s="19"/>
      <c r="D16" s="19"/>
      <c r="E16" s="19"/>
    </row>
    <row r="17" spans="1:5" ht="18" x14ac:dyDescent="0.25">
      <c r="A17" s="24" t="s">
        <v>15</v>
      </c>
      <c r="B17" s="21"/>
      <c r="C17" s="21"/>
      <c r="D17" s="25"/>
      <c r="E17" s="26">
        <f>E15</f>
        <v>1804130.8000000007</v>
      </c>
    </row>
    <row r="18" spans="1:5" ht="18" x14ac:dyDescent="0.25">
      <c r="A18" s="20"/>
      <c r="B18" s="21"/>
      <c r="C18" s="21"/>
      <c r="D18" s="25"/>
      <c r="E18" s="19"/>
    </row>
    <row r="19" spans="1:5" ht="36" x14ac:dyDescent="0.25">
      <c r="A19" s="1" t="s">
        <v>16</v>
      </c>
      <c r="B19" s="2"/>
      <c r="C19" s="2"/>
      <c r="D19" s="2"/>
      <c r="E19" s="2"/>
    </row>
    <row r="20" spans="1:5" ht="36" x14ac:dyDescent="0.25">
      <c r="A20" s="3" t="s">
        <v>1</v>
      </c>
      <c r="B20" s="4" t="s">
        <v>2</v>
      </c>
      <c r="C20" s="4" t="s">
        <v>3</v>
      </c>
      <c r="D20" s="5" t="s">
        <v>4</v>
      </c>
      <c r="E20" s="6" t="s">
        <v>5</v>
      </c>
    </row>
    <row r="21" spans="1:5" ht="18" x14ac:dyDescent="0.25">
      <c r="A21" s="7" t="s">
        <v>140</v>
      </c>
      <c r="B21" s="9">
        <f>(380000+348820)*12+480000</f>
        <v>9225840</v>
      </c>
      <c r="C21" s="9">
        <f>B21*0.13</f>
        <v>1199359.2</v>
      </c>
      <c r="D21" s="9"/>
      <c r="E21" s="8">
        <f>SUM(B21:D21)</f>
        <v>10425199.199999999</v>
      </c>
    </row>
    <row r="22" spans="1:5" ht="18" x14ac:dyDescent="0.25">
      <c r="A22" s="7" t="s">
        <v>112</v>
      </c>
      <c r="B22" s="9">
        <f>(323730+348820+323730+370000)*12+960000</f>
        <v>17355360</v>
      </c>
      <c r="C22" s="9">
        <f t="shared" ref="C22" si="1">B22*0.13</f>
        <v>2256196.8000000003</v>
      </c>
      <c r="D22" s="9"/>
      <c r="E22" s="8">
        <f t="shared" ref="E22:E35" si="2">SUM(B22:D22)</f>
        <v>19611556.800000001</v>
      </c>
    </row>
    <row r="23" spans="1:5" ht="18" x14ac:dyDescent="0.25">
      <c r="A23" s="7" t="s">
        <v>7</v>
      </c>
      <c r="B23" s="9"/>
      <c r="C23" s="9"/>
      <c r="D23" s="9">
        <f>6*30000</f>
        <v>180000</v>
      </c>
      <c r="E23" s="9">
        <f>D23</f>
        <v>180000</v>
      </c>
    </row>
    <row r="24" spans="1:5" ht="18" x14ac:dyDescent="0.25">
      <c r="A24" s="7" t="s">
        <v>18</v>
      </c>
      <c r="B24" s="9"/>
      <c r="C24" s="9"/>
      <c r="D24" s="12">
        <v>350000</v>
      </c>
      <c r="E24" s="27">
        <f t="shared" ref="E24" si="3">SUM(B24:D24)</f>
        <v>350000</v>
      </c>
    </row>
    <row r="25" spans="1:5" ht="18" x14ac:dyDescent="0.25">
      <c r="A25" s="7" t="s">
        <v>17</v>
      </c>
      <c r="B25" s="9"/>
      <c r="C25" s="9"/>
      <c r="D25" s="9">
        <v>1200000</v>
      </c>
      <c r="E25" s="8">
        <f>D25</f>
        <v>1200000</v>
      </c>
    </row>
    <row r="26" spans="1:5" ht="18" x14ac:dyDescent="0.25">
      <c r="A26" s="7" t="s">
        <v>143</v>
      </c>
      <c r="B26" s="12"/>
      <c r="C26" s="12"/>
      <c r="D26" s="9">
        <v>3400000</v>
      </c>
      <c r="E26" s="27">
        <f>D26</f>
        <v>3400000</v>
      </c>
    </row>
    <row r="27" spans="1:5" ht="18" x14ac:dyDescent="0.25">
      <c r="A27" s="7" t="s">
        <v>19</v>
      </c>
      <c r="B27" s="12"/>
      <c r="C27" s="12"/>
      <c r="D27" s="12">
        <v>520000</v>
      </c>
      <c r="E27" s="27">
        <f t="shared" si="2"/>
        <v>520000</v>
      </c>
    </row>
    <row r="28" spans="1:5" ht="18" x14ac:dyDescent="0.25">
      <c r="A28" s="7" t="s">
        <v>145</v>
      </c>
      <c r="B28" s="12"/>
      <c r="C28" s="12"/>
      <c r="D28" s="12">
        <v>1695000</v>
      </c>
      <c r="E28" s="27">
        <f>D28</f>
        <v>1695000</v>
      </c>
    </row>
    <row r="29" spans="1:5" ht="18" x14ac:dyDescent="0.25">
      <c r="A29" s="7" t="s">
        <v>20</v>
      </c>
      <c r="B29" s="12"/>
      <c r="C29" s="12"/>
      <c r="D29" s="12">
        <v>65000</v>
      </c>
      <c r="E29" s="27">
        <f t="shared" si="2"/>
        <v>65000</v>
      </c>
    </row>
    <row r="30" spans="1:5" ht="18" x14ac:dyDescent="0.25">
      <c r="A30" s="7" t="s">
        <v>21</v>
      </c>
      <c r="B30" s="12"/>
      <c r="C30" s="12"/>
      <c r="D30" s="12">
        <v>520000</v>
      </c>
      <c r="E30" s="27">
        <f t="shared" si="2"/>
        <v>520000</v>
      </c>
    </row>
    <row r="31" spans="1:5" ht="18" x14ac:dyDescent="0.25">
      <c r="A31" s="93" t="s">
        <v>22</v>
      </c>
      <c r="B31" s="12"/>
      <c r="C31" s="12"/>
      <c r="D31" s="9">
        <v>115600</v>
      </c>
      <c r="E31" s="27">
        <f>D31</f>
        <v>115600</v>
      </c>
    </row>
    <row r="32" spans="1:5" ht="18" x14ac:dyDescent="0.25">
      <c r="A32" s="7" t="s">
        <v>23</v>
      </c>
      <c r="B32" s="12"/>
      <c r="C32" s="12"/>
      <c r="D32" s="12">
        <v>3980000</v>
      </c>
      <c r="E32" s="27">
        <f t="shared" si="2"/>
        <v>3980000</v>
      </c>
    </row>
    <row r="33" spans="1:5" ht="18" x14ac:dyDescent="0.25">
      <c r="A33" s="7" t="s">
        <v>24</v>
      </c>
      <c r="B33" s="12"/>
      <c r="C33" s="12"/>
      <c r="D33" s="12">
        <v>275000</v>
      </c>
      <c r="E33" s="12">
        <f>D33</f>
        <v>275000</v>
      </c>
    </row>
    <row r="34" spans="1:5" ht="30.75" x14ac:dyDescent="0.25">
      <c r="A34" s="7" t="s">
        <v>25</v>
      </c>
      <c r="B34" s="12"/>
      <c r="C34" s="12"/>
      <c r="D34" s="9">
        <v>2500000</v>
      </c>
      <c r="E34" s="27">
        <f t="shared" si="2"/>
        <v>2500000</v>
      </c>
    </row>
    <row r="35" spans="1:5" ht="18" x14ac:dyDescent="0.25">
      <c r="A35" s="7" t="s">
        <v>26</v>
      </c>
      <c r="B35" s="12"/>
      <c r="C35" s="12"/>
      <c r="D35" s="9">
        <v>485000</v>
      </c>
      <c r="E35" s="27">
        <f t="shared" si="2"/>
        <v>485000</v>
      </c>
    </row>
    <row r="36" spans="1:5" ht="18" x14ac:dyDescent="0.25">
      <c r="A36" s="7" t="s">
        <v>27</v>
      </c>
      <c r="B36" s="12"/>
      <c r="C36" s="12"/>
      <c r="D36" s="9">
        <v>380000</v>
      </c>
      <c r="E36" s="27">
        <f>SUM(B36:D36)</f>
        <v>380000</v>
      </c>
    </row>
    <row r="37" spans="1:5" ht="18" x14ac:dyDescent="0.25">
      <c r="A37" s="7" t="s">
        <v>154</v>
      </c>
      <c r="B37" s="12"/>
      <c r="C37" s="12"/>
      <c r="D37" s="9">
        <v>600000</v>
      </c>
      <c r="E37" s="27">
        <f>SUM(B37:D37)</f>
        <v>600000</v>
      </c>
    </row>
    <row r="38" spans="1:5" ht="18" x14ac:dyDescent="0.25">
      <c r="A38" s="7" t="s">
        <v>28</v>
      </c>
      <c r="B38" s="28"/>
      <c r="C38" s="12"/>
      <c r="D38" s="9">
        <v>500000</v>
      </c>
      <c r="E38" s="9">
        <f>SUM(B38:D38)</f>
        <v>500000</v>
      </c>
    </row>
    <row r="39" spans="1:5" ht="18" x14ac:dyDescent="0.25">
      <c r="A39" s="7" t="s">
        <v>29</v>
      </c>
      <c r="B39" s="12"/>
      <c r="C39" s="12"/>
      <c r="D39" s="12">
        <v>400000</v>
      </c>
      <c r="E39" s="27">
        <f>SUM(B39:D39)</f>
        <v>400000</v>
      </c>
    </row>
    <row r="40" spans="1:5" ht="18" x14ac:dyDescent="0.25">
      <c r="A40" s="13" t="s">
        <v>10</v>
      </c>
      <c r="B40" s="14">
        <f>SUM(B21:B39)</f>
        <v>26581200</v>
      </c>
      <c r="C40" s="14">
        <f>SUM(C21:C39)</f>
        <v>3455556</v>
      </c>
      <c r="D40" s="14">
        <f>SUM(D21:D39)</f>
        <v>17165600</v>
      </c>
      <c r="E40" s="29">
        <f>SUM(E21:E39)</f>
        <v>47202356</v>
      </c>
    </row>
    <row r="41" spans="1:5" ht="18" x14ac:dyDescent="0.25">
      <c r="A41" s="30"/>
      <c r="B41" s="21"/>
      <c r="C41" s="21"/>
      <c r="D41" s="21"/>
      <c r="E41" s="31"/>
    </row>
    <row r="42" spans="1:5" ht="36" x14ac:dyDescent="0.25">
      <c r="A42" s="20"/>
      <c r="B42" s="21"/>
      <c r="C42" s="21"/>
      <c r="D42" s="21"/>
      <c r="E42" s="32" t="s">
        <v>11</v>
      </c>
    </row>
    <row r="43" spans="1:5" ht="54" x14ac:dyDescent="0.25">
      <c r="A43" s="17" t="s">
        <v>30</v>
      </c>
      <c r="B43" s="33"/>
      <c r="C43" s="19"/>
      <c r="D43" s="19"/>
      <c r="E43" s="19">
        <v>61500000</v>
      </c>
    </row>
    <row r="44" spans="1:5" ht="18" x14ac:dyDescent="0.25">
      <c r="A44" s="34"/>
      <c r="B44" s="33"/>
      <c r="C44" s="33"/>
      <c r="D44" s="33"/>
      <c r="E44" s="33"/>
    </row>
    <row r="45" spans="1:5" ht="18" x14ac:dyDescent="0.25">
      <c r="A45" s="34"/>
      <c r="B45" s="19"/>
      <c r="C45" s="19"/>
      <c r="D45" s="19"/>
      <c r="E45" s="33"/>
    </row>
    <row r="46" spans="1:5" ht="18" x14ac:dyDescent="0.25">
      <c r="A46" s="35" t="s">
        <v>13</v>
      </c>
      <c r="B46" s="36"/>
      <c r="C46" s="36"/>
      <c r="D46" s="36"/>
      <c r="E46" s="36">
        <f>SUM(E43:E45)</f>
        <v>61500000</v>
      </c>
    </row>
    <row r="47" spans="1:5" ht="18" x14ac:dyDescent="0.25">
      <c r="A47" s="22" t="s">
        <v>14</v>
      </c>
      <c r="B47" s="23"/>
      <c r="C47" s="23"/>
      <c r="D47" s="23"/>
      <c r="E47" s="23">
        <f>E46-E40</f>
        <v>14297644</v>
      </c>
    </row>
    <row r="48" spans="1:5" ht="18" x14ac:dyDescent="0.25">
      <c r="A48" s="17"/>
      <c r="B48" s="19"/>
      <c r="C48" s="19"/>
      <c r="D48" s="19"/>
      <c r="E48" s="19"/>
    </row>
    <row r="49" spans="1:10" ht="18" x14ac:dyDescent="0.25">
      <c r="A49" s="24" t="s">
        <v>15</v>
      </c>
      <c r="B49" s="19"/>
      <c r="C49" s="19"/>
      <c r="D49" s="19"/>
      <c r="E49" s="26">
        <f>E47</f>
        <v>14297644</v>
      </c>
    </row>
    <row r="50" spans="1:10" ht="18" x14ac:dyDescent="0.25">
      <c r="A50" s="37"/>
      <c r="B50" s="19"/>
      <c r="C50" s="19"/>
      <c r="D50" s="19"/>
      <c r="E50" s="38"/>
      <c r="F50" s="39"/>
      <c r="G50" s="39"/>
      <c r="H50" s="39"/>
      <c r="I50" s="39"/>
      <c r="J50" s="39"/>
    </row>
    <row r="51" spans="1:10" ht="18" x14ac:dyDescent="0.25">
      <c r="A51" s="1" t="s">
        <v>31</v>
      </c>
      <c r="B51" s="2"/>
      <c r="C51" s="2"/>
      <c r="D51" s="2"/>
      <c r="E51" s="2"/>
    </row>
    <row r="52" spans="1:10" ht="36" x14ac:dyDescent="0.25">
      <c r="A52" s="3" t="s">
        <v>1</v>
      </c>
      <c r="B52" s="4" t="s">
        <v>2</v>
      </c>
      <c r="C52" s="4" t="s">
        <v>3</v>
      </c>
      <c r="D52" s="5" t="s">
        <v>4</v>
      </c>
      <c r="E52" s="6" t="s">
        <v>5</v>
      </c>
    </row>
    <row r="53" spans="1:10" ht="18" x14ac:dyDescent="0.25">
      <c r="A53" s="7" t="s">
        <v>144</v>
      </c>
      <c r="B53" s="8">
        <f>327000*12+120000</f>
        <v>4044000</v>
      </c>
      <c r="C53" s="8">
        <f>B53*0.13</f>
        <v>525720</v>
      </c>
      <c r="D53" s="40"/>
      <c r="E53" s="40">
        <f>C53+B53</f>
        <v>4569720</v>
      </c>
      <c r="F53" s="41"/>
      <c r="G53" s="41"/>
      <c r="H53" s="41"/>
      <c r="I53" s="41"/>
      <c r="J53" s="41"/>
    </row>
    <row r="54" spans="1:10" ht="30.75" x14ac:dyDescent="0.25">
      <c r="A54" s="7" t="s">
        <v>146</v>
      </c>
      <c r="B54" s="8"/>
      <c r="C54" s="9"/>
      <c r="D54" s="8">
        <v>900000</v>
      </c>
      <c r="E54" s="8">
        <f t="shared" ref="E54:E55" si="4">SUM(B54:D54)</f>
        <v>900000</v>
      </c>
    </row>
    <row r="55" spans="1:10" ht="30.75" x14ac:dyDescent="0.25">
      <c r="A55" s="7" t="s">
        <v>147</v>
      </c>
      <c r="B55" s="8"/>
      <c r="C55" s="9"/>
      <c r="D55" s="8">
        <v>4500000</v>
      </c>
      <c r="E55" s="8">
        <f t="shared" si="4"/>
        <v>4500000</v>
      </c>
    </row>
    <row r="56" spans="1:10" ht="30.75" x14ac:dyDescent="0.25">
      <c r="A56" s="7" t="s">
        <v>148</v>
      </c>
      <c r="B56" s="8"/>
      <c r="C56" s="9"/>
      <c r="D56" s="8">
        <v>2850000</v>
      </c>
      <c r="E56" s="8">
        <f>D56</f>
        <v>2850000</v>
      </c>
    </row>
    <row r="57" spans="1:10" ht="30.75" x14ac:dyDescent="0.25">
      <c r="A57" s="7" t="s">
        <v>150</v>
      </c>
      <c r="B57" s="8"/>
      <c r="C57" s="9"/>
      <c r="D57" s="8">
        <v>2000000</v>
      </c>
      <c r="E57" s="8">
        <f>D57</f>
        <v>2000000</v>
      </c>
    </row>
    <row r="58" spans="1:10" ht="30.75" x14ac:dyDescent="0.25">
      <c r="A58" s="7" t="s">
        <v>149</v>
      </c>
      <c r="B58" s="8"/>
      <c r="C58" s="9"/>
      <c r="D58" s="8">
        <v>2260000</v>
      </c>
      <c r="E58" s="8">
        <f>D58</f>
        <v>2260000</v>
      </c>
    </row>
    <row r="59" spans="1:10" ht="18" x14ac:dyDescent="0.25">
      <c r="A59" s="7" t="s">
        <v>152</v>
      </c>
      <c r="B59" s="8"/>
      <c r="C59" s="9"/>
      <c r="D59" s="8">
        <v>890000</v>
      </c>
      <c r="E59" s="8">
        <f t="shared" ref="E59" si="5">SUM(B59:D59)</f>
        <v>890000</v>
      </c>
    </row>
    <row r="60" spans="1:10" ht="18" x14ac:dyDescent="0.25">
      <c r="A60" s="7" t="s">
        <v>151</v>
      </c>
      <c r="B60" s="8"/>
      <c r="C60" s="9"/>
      <c r="D60" s="8">
        <v>5000000</v>
      </c>
      <c r="E60" s="8">
        <f>D60</f>
        <v>5000000</v>
      </c>
    </row>
    <row r="61" spans="1:10" ht="18" x14ac:dyDescent="0.25">
      <c r="A61" s="7" t="s">
        <v>155</v>
      </c>
      <c r="B61" s="8"/>
      <c r="C61" s="9"/>
      <c r="D61" s="8">
        <v>900000</v>
      </c>
      <c r="E61" s="8">
        <f>D61</f>
        <v>900000</v>
      </c>
    </row>
    <row r="62" spans="1:10" ht="18" x14ac:dyDescent="0.25">
      <c r="A62" s="13" t="s">
        <v>10</v>
      </c>
      <c r="B62" s="90">
        <f>SUM(B53:B54)</f>
        <v>4044000</v>
      </c>
      <c r="C62" s="90">
        <f>SUM(C53:C54)</f>
        <v>525720</v>
      </c>
      <c r="D62" s="90">
        <f>SUM(D54:D61)</f>
        <v>19300000</v>
      </c>
      <c r="E62" s="90">
        <f>SUM(B62:D62)</f>
        <v>23869720</v>
      </c>
    </row>
    <row r="63" spans="1:10" x14ac:dyDescent="0.25">
      <c r="A63" s="94" t="s">
        <v>32</v>
      </c>
      <c r="B63" s="96"/>
      <c r="C63" s="96"/>
      <c r="D63" s="96"/>
      <c r="E63" s="99">
        <v>27500000</v>
      </c>
    </row>
    <row r="64" spans="1:10" ht="21" customHeight="1" x14ac:dyDescent="0.25">
      <c r="A64" s="95"/>
      <c r="B64" s="97"/>
      <c r="C64" s="97"/>
      <c r="D64" s="98"/>
      <c r="E64" s="100"/>
    </row>
    <row r="65" spans="1:9" ht="18" x14ac:dyDescent="0.25">
      <c r="A65" s="35" t="s">
        <v>13</v>
      </c>
      <c r="B65" s="36"/>
      <c r="C65" s="36"/>
      <c r="D65" s="36"/>
      <c r="E65" s="36">
        <f>E63+E64</f>
        <v>27500000</v>
      </c>
    </row>
    <row r="66" spans="1:9" ht="18" x14ac:dyDescent="0.25">
      <c r="A66" s="22" t="s">
        <v>14</v>
      </c>
      <c r="B66" s="23"/>
      <c r="C66" s="23"/>
      <c r="D66" s="23"/>
      <c r="E66" s="23">
        <f>E65-E62</f>
        <v>3630280</v>
      </c>
    </row>
    <row r="67" spans="1:9" ht="18" x14ac:dyDescent="0.25">
      <c r="A67" s="17"/>
      <c r="B67" s="19"/>
      <c r="C67" s="19"/>
      <c r="D67" s="19"/>
      <c r="E67" s="19"/>
    </row>
    <row r="68" spans="1:9" ht="18" x14ac:dyDescent="0.25">
      <c r="A68" s="24" t="s">
        <v>15</v>
      </c>
      <c r="B68" s="19"/>
      <c r="C68" s="19"/>
      <c r="D68" s="19"/>
      <c r="E68" s="26">
        <f>E66</f>
        <v>3630280</v>
      </c>
    </row>
    <row r="69" spans="1:9" ht="18" x14ac:dyDescent="0.25">
      <c r="A69" s="42"/>
      <c r="B69" s="43"/>
      <c r="C69" s="43"/>
      <c r="D69" s="43"/>
      <c r="E69" s="43"/>
    </row>
    <row r="70" spans="1:9" ht="18" x14ac:dyDescent="0.25">
      <c r="A70" s="42"/>
      <c r="B70" s="43"/>
      <c r="C70" s="43"/>
      <c r="D70" s="43"/>
      <c r="E70" s="43"/>
    </row>
    <row r="71" spans="1:9" ht="18" x14ac:dyDescent="0.25">
      <c r="A71" s="17"/>
      <c r="B71" s="19"/>
      <c r="C71" s="19"/>
      <c r="D71" s="19"/>
      <c r="E71" s="19"/>
    </row>
    <row r="72" spans="1:9" ht="18" x14ac:dyDescent="0.25">
      <c r="A72" s="1" t="s">
        <v>33</v>
      </c>
      <c r="B72" s="2"/>
      <c r="C72" s="2"/>
      <c r="D72" s="2"/>
      <c r="E72" s="2"/>
    </row>
    <row r="73" spans="1:9" ht="36" x14ac:dyDescent="0.25">
      <c r="A73" s="3" t="s">
        <v>1</v>
      </c>
      <c r="B73" s="4" t="s">
        <v>2</v>
      </c>
      <c r="C73" s="4" t="s">
        <v>3</v>
      </c>
      <c r="D73" s="5" t="s">
        <v>4</v>
      </c>
      <c r="E73" s="6" t="s">
        <v>5</v>
      </c>
    </row>
    <row r="74" spans="1:9" ht="45.75" x14ac:dyDescent="0.25">
      <c r="A74" s="7" t="s">
        <v>158</v>
      </c>
      <c r="B74" s="8">
        <f>(4*290812*12)+(4*20000*12)</f>
        <v>14918976</v>
      </c>
      <c r="C74" s="9">
        <f>B74*0.13</f>
        <v>1939466.8800000001</v>
      </c>
      <c r="D74" s="8"/>
      <c r="E74" s="8">
        <f t="shared" ref="E74" si="6">SUM(B74:D74)</f>
        <v>16858442.879999999</v>
      </c>
      <c r="G74" s="83"/>
      <c r="H74" s="83"/>
    </row>
    <row r="75" spans="1:9" ht="18" x14ac:dyDescent="0.25">
      <c r="A75" s="7" t="s">
        <v>7</v>
      </c>
      <c r="B75" s="9"/>
      <c r="C75" s="9"/>
      <c r="D75" s="9">
        <f>5*15000</f>
        <v>75000</v>
      </c>
      <c r="E75" s="9">
        <f>D75</f>
        <v>75000</v>
      </c>
      <c r="I75" s="83"/>
    </row>
    <row r="76" spans="1:9" ht="18" x14ac:dyDescent="0.25">
      <c r="A76" s="7" t="s">
        <v>18</v>
      </c>
      <c r="B76" s="12"/>
      <c r="C76" s="12"/>
      <c r="D76" s="12">
        <v>50000</v>
      </c>
      <c r="E76" s="27">
        <f t="shared" ref="E76:E84" si="7">SUM(B76:D76)</f>
        <v>50000</v>
      </c>
      <c r="I76" s="83"/>
    </row>
    <row r="77" spans="1:9" ht="18" x14ac:dyDescent="0.25">
      <c r="A77" s="7" t="s">
        <v>34</v>
      </c>
      <c r="B77" s="12"/>
      <c r="C77" s="12"/>
      <c r="D77" s="12">
        <f>5*7500</f>
        <v>37500</v>
      </c>
      <c r="E77" s="27">
        <f>D77</f>
        <v>37500</v>
      </c>
      <c r="I77" s="83"/>
    </row>
    <row r="78" spans="1:9" ht="18" x14ac:dyDescent="0.25">
      <c r="A78" s="7" t="s">
        <v>120</v>
      </c>
      <c r="B78" s="12"/>
      <c r="C78" s="12"/>
      <c r="D78" s="12">
        <v>198000</v>
      </c>
      <c r="E78" s="12">
        <f>D78</f>
        <v>198000</v>
      </c>
      <c r="I78" s="83"/>
    </row>
    <row r="79" spans="1:9" ht="18" x14ac:dyDescent="0.25">
      <c r="A79" s="7" t="s">
        <v>35</v>
      </c>
      <c r="B79" s="12"/>
      <c r="C79" s="12"/>
      <c r="D79" s="9">
        <v>1279017</v>
      </c>
      <c r="E79" s="27">
        <f t="shared" si="7"/>
        <v>1279017</v>
      </c>
      <c r="I79" s="83"/>
    </row>
    <row r="80" spans="1:9" ht="18" x14ac:dyDescent="0.25">
      <c r="A80" s="84" t="s">
        <v>22</v>
      </c>
      <c r="B80" s="12"/>
      <c r="C80" s="12"/>
      <c r="D80" s="9">
        <v>60000</v>
      </c>
      <c r="E80" s="27">
        <f>D80</f>
        <v>60000</v>
      </c>
      <c r="I80" s="83"/>
    </row>
    <row r="81" spans="1:11" ht="18" x14ac:dyDescent="0.25">
      <c r="A81" s="7" t="s">
        <v>36</v>
      </c>
      <c r="B81" s="12"/>
      <c r="C81" s="12"/>
      <c r="D81" s="12">
        <v>150000</v>
      </c>
      <c r="E81" s="27">
        <f>SUM(B81:D81)</f>
        <v>150000</v>
      </c>
      <c r="I81" s="83"/>
    </row>
    <row r="82" spans="1:11" ht="18" x14ac:dyDescent="0.25">
      <c r="A82" s="7" t="s">
        <v>37</v>
      </c>
      <c r="B82" s="12"/>
      <c r="C82" s="12"/>
      <c r="D82" s="9">
        <v>50000</v>
      </c>
      <c r="E82" s="27">
        <f t="shared" si="7"/>
        <v>50000</v>
      </c>
      <c r="I82" s="83"/>
    </row>
    <row r="83" spans="1:11" ht="18" x14ac:dyDescent="0.25">
      <c r="A83" s="7" t="s">
        <v>38</v>
      </c>
      <c r="B83" s="12"/>
      <c r="C83" s="12"/>
      <c r="D83" s="9">
        <v>200000</v>
      </c>
      <c r="E83" s="27">
        <f t="shared" si="7"/>
        <v>200000</v>
      </c>
      <c r="I83" s="83"/>
    </row>
    <row r="84" spans="1:11" ht="18" x14ac:dyDescent="0.25">
      <c r="A84" s="7" t="s">
        <v>29</v>
      </c>
      <c r="B84" s="12"/>
      <c r="C84" s="12"/>
      <c r="D84" s="12">
        <f>D83</f>
        <v>200000</v>
      </c>
      <c r="E84" s="27">
        <f t="shared" si="7"/>
        <v>200000</v>
      </c>
      <c r="I84" s="83"/>
    </row>
    <row r="85" spans="1:11" ht="18" x14ac:dyDescent="0.25">
      <c r="A85" s="13" t="s">
        <v>10</v>
      </c>
      <c r="B85" s="14">
        <f>SUM(B74:B84)</f>
        <v>14918976</v>
      </c>
      <c r="C85" s="14">
        <f>SUM(C74:C84)</f>
        <v>1939466.8800000001</v>
      </c>
      <c r="D85" s="14">
        <f>SUM(D74:D84)</f>
        <v>2299517</v>
      </c>
      <c r="E85" s="14">
        <f>SUM(E74:E84)</f>
        <v>19157959.879999999</v>
      </c>
      <c r="F85" s="39"/>
      <c r="G85" s="89"/>
      <c r="H85" s="89"/>
      <c r="I85" s="89"/>
      <c r="J85" s="39"/>
      <c r="K85" s="39"/>
    </row>
    <row r="86" spans="1:11" ht="18" x14ac:dyDescent="0.25">
      <c r="A86" s="20"/>
      <c r="B86" s="21"/>
      <c r="C86" s="21"/>
      <c r="D86" s="21"/>
      <c r="E86" s="21"/>
      <c r="F86" s="39"/>
      <c r="G86" s="39"/>
      <c r="H86" s="39"/>
      <c r="I86" s="39"/>
      <c r="J86" s="39"/>
      <c r="K86" s="39"/>
    </row>
    <row r="87" spans="1:11" ht="36" x14ac:dyDescent="0.25">
      <c r="A87" s="15"/>
      <c r="B87" s="16"/>
      <c r="C87" s="16"/>
      <c r="D87" s="16"/>
      <c r="E87" s="32" t="s">
        <v>11</v>
      </c>
    </row>
    <row r="88" spans="1:11" ht="18" x14ac:dyDescent="0.25">
      <c r="A88" s="15" t="s">
        <v>39</v>
      </c>
      <c r="B88" s="16"/>
      <c r="C88" s="16"/>
      <c r="D88" s="16"/>
      <c r="E88" s="16">
        <f>(849045+238830+245400+537640)*12</f>
        <v>22450980</v>
      </c>
    </row>
    <row r="89" spans="1:11" ht="18" x14ac:dyDescent="0.25">
      <c r="A89" s="35" t="s">
        <v>13</v>
      </c>
      <c r="B89" s="36"/>
      <c r="C89" s="36"/>
      <c r="D89" s="36"/>
      <c r="E89" s="14">
        <f>E88</f>
        <v>22450980</v>
      </c>
    </row>
    <row r="90" spans="1:11" ht="18" x14ac:dyDescent="0.25">
      <c r="A90" s="22" t="s">
        <v>14</v>
      </c>
      <c r="B90" s="23"/>
      <c r="C90" s="23"/>
      <c r="D90" s="23"/>
      <c r="E90" s="23">
        <f>E89-E85</f>
        <v>3293020.120000001</v>
      </c>
    </row>
    <row r="91" spans="1:11" ht="18" x14ac:dyDescent="0.25">
      <c r="A91" s="17"/>
      <c r="B91" s="19"/>
      <c r="C91" s="19"/>
      <c r="D91" s="19"/>
      <c r="E91" s="19"/>
    </row>
    <row r="92" spans="1:11" ht="18" x14ac:dyDescent="0.25">
      <c r="A92" s="24" t="s">
        <v>15</v>
      </c>
      <c r="B92" s="19"/>
      <c r="C92" s="19"/>
      <c r="D92" s="19"/>
      <c r="E92" s="26">
        <f>E90</f>
        <v>3293020.120000001</v>
      </c>
    </row>
    <row r="93" spans="1:11" ht="18" x14ac:dyDescent="0.25">
      <c r="A93" s="17"/>
      <c r="B93" s="19"/>
      <c r="C93" s="19"/>
      <c r="D93" s="19"/>
      <c r="E93" s="19"/>
    </row>
    <row r="94" spans="1:11" ht="54" x14ac:dyDescent="0.25">
      <c r="A94" s="79" t="s">
        <v>115</v>
      </c>
      <c r="B94" s="79" t="s">
        <v>133</v>
      </c>
      <c r="C94" s="2"/>
      <c r="D94" s="2"/>
      <c r="E94" s="2"/>
    </row>
    <row r="95" spans="1:11" ht="36" x14ac:dyDescent="0.25">
      <c r="A95" s="3" t="s">
        <v>1</v>
      </c>
      <c r="B95" s="4" t="s">
        <v>2</v>
      </c>
      <c r="C95" s="4" t="s">
        <v>3</v>
      </c>
      <c r="D95" s="5" t="s">
        <v>4</v>
      </c>
      <c r="E95" s="6" t="s">
        <v>5</v>
      </c>
    </row>
    <row r="96" spans="1:11" ht="18" x14ac:dyDescent="0.25">
      <c r="A96" s="7" t="s">
        <v>8</v>
      </c>
      <c r="B96" s="9"/>
      <c r="C96" s="9"/>
      <c r="D96" s="9">
        <v>1550000</v>
      </c>
      <c r="E96" s="9">
        <f>D96</f>
        <v>1550000</v>
      </c>
    </row>
    <row r="97" spans="1:10" ht="18" x14ac:dyDescent="0.25">
      <c r="A97" s="7" t="s">
        <v>47</v>
      </c>
      <c r="B97" s="9"/>
      <c r="C97" s="9"/>
      <c r="D97" s="9">
        <v>1600000</v>
      </c>
      <c r="E97" s="8">
        <f>D97</f>
        <v>1600000</v>
      </c>
    </row>
    <row r="98" spans="1:10" ht="18" x14ac:dyDescent="0.25">
      <c r="A98" s="7" t="s">
        <v>40</v>
      </c>
      <c r="B98" s="12"/>
      <c r="C98" s="12"/>
      <c r="D98" s="12">
        <v>880000</v>
      </c>
      <c r="E98" s="12">
        <f t="shared" ref="E98:E102" si="8">SUM(B98:D98)</f>
        <v>880000</v>
      </c>
      <c r="F98" s="10"/>
      <c r="G98" s="10"/>
      <c r="H98" s="10"/>
      <c r="I98" s="10"/>
      <c r="J98" s="10"/>
    </row>
    <row r="99" spans="1:10" ht="18" x14ac:dyDescent="0.25">
      <c r="A99" s="7" t="s">
        <v>41</v>
      </c>
      <c r="B99" s="12"/>
      <c r="C99" s="12"/>
      <c r="D99" s="9">
        <v>220000</v>
      </c>
      <c r="E99" s="12">
        <f t="shared" si="8"/>
        <v>220000</v>
      </c>
    </row>
    <row r="100" spans="1:10" ht="18" x14ac:dyDescent="0.25">
      <c r="A100" s="7" t="s">
        <v>122</v>
      </c>
      <c r="B100" s="12"/>
      <c r="C100" s="12"/>
      <c r="D100" s="9">
        <v>62000</v>
      </c>
      <c r="E100" s="27">
        <f t="shared" si="8"/>
        <v>62000</v>
      </c>
    </row>
    <row r="101" spans="1:10" ht="18" x14ac:dyDescent="0.25">
      <c r="A101" s="7" t="s">
        <v>142</v>
      </c>
      <c r="B101" s="12"/>
      <c r="C101" s="12"/>
      <c r="D101" s="9">
        <v>186000</v>
      </c>
      <c r="E101" s="27">
        <f>D101</f>
        <v>186000</v>
      </c>
    </row>
    <row r="102" spans="1:10" ht="18" x14ac:dyDescent="0.25">
      <c r="A102" s="7" t="s">
        <v>141</v>
      </c>
      <c r="B102" s="12"/>
      <c r="C102" s="12"/>
      <c r="D102" s="9">
        <v>84000</v>
      </c>
      <c r="E102" s="27">
        <f t="shared" si="8"/>
        <v>84000</v>
      </c>
    </row>
    <row r="103" spans="1:10" ht="18" x14ac:dyDescent="0.25">
      <c r="A103" s="7" t="s">
        <v>35</v>
      </c>
      <c r="B103" s="12"/>
      <c r="C103" s="12"/>
      <c r="D103" s="9">
        <v>120000</v>
      </c>
      <c r="E103" s="27">
        <f>SUM(B103:D103)</f>
        <v>120000</v>
      </c>
    </row>
    <row r="104" spans="1:10" ht="18" x14ac:dyDescent="0.25">
      <c r="A104" s="13" t="s">
        <v>10</v>
      </c>
      <c r="B104" s="14">
        <f>SUM(B96:B103)</f>
        <v>0</v>
      </c>
      <c r="C104" s="14">
        <f>SUM(C96:C103)</f>
        <v>0</v>
      </c>
      <c r="D104" s="14">
        <f>SUM(D96:D103)</f>
        <v>4702000</v>
      </c>
      <c r="E104" s="14">
        <f>SUM(E96:E103)</f>
        <v>4702000</v>
      </c>
    </row>
    <row r="105" spans="1:10" ht="18" x14ac:dyDescent="0.25">
      <c r="A105" s="45" t="s">
        <v>44</v>
      </c>
      <c r="B105" s="12"/>
      <c r="C105" s="12"/>
      <c r="D105" s="12"/>
      <c r="E105" s="46">
        <v>6300000</v>
      </c>
    </row>
    <row r="106" spans="1:10" ht="18" x14ac:dyDescent="0.25">
      <c r="A106" s="45" t="s">
        <v>123</v>
      </c>
      <c r="B106" s="12"/>
      <c r="C106" s="12"/>
      <c r="D106" s="12"/>
      <c r="E106" s="46">
        <v>268680</v>
      </c>
    </row>
    <row r="107" spans="1:10" ht="18" x14ac:dyDescent="0.25">
      <c r="A107" s="13" t="s">
        <v>13</v>
      </c>
      <c r="B107" s="14"/>
      <c r="C107" s="14"/>
      <c r="D107" s="14"/>
      <c r="E107" s="14">
        <f>E105+E106</f>
        <v>6568680</v>
      </c>
    </row>
    <row r="108" spans="1:10" ht="18" x14ac:dyDescent="0.25">
      <c r="A108" s="22" t="s">
        <v>14</v>
      </c>
      <c r="B108" s="23"/>
      <c r="C108" s="23"/>
      <c r="D108" s="23"/>
      <c r="E108" s="23">
        <f>E107-E104</f>
        <v>1866680</v>
      </c>
    </row>
    <row r="109" spans="1:10" ht="18" x14ac:dyDescent="0.25">
      <c r="A109" s="17"/>
      <c r="B109" s="19"/>
      <c r="C109" s="19"/>
      <c r="D109" s="19"/>
      <c r="E109" s="19"/>
    </row>
    <row r="110" spans="1:10" ht="18" x14ac:dyDescent="0.25">
      <c r="A110" s="24" t="s">
        <v>15</v>
      </c>
      <c r="B110" s="19"/>
      <c r="C110" s="19"/>
      <c r="D110" s="19"/>
      <c r="E110" s="26">
        <f>E107-E104</f>
        <v>1866680</v>
      </c>
    </row>
    <row r="111" spans="1:10" ht="18" x14ac:dyDescent="0.25">
      <c r="A111" s="17"/>
      <c r="B111" s="19"/>
      <c r="C111" s="19"/>
      <c r="D111" s="19"/>
      <c r="E111" s="19"/>
    </row>
    <row r="112" spans="1:10" ht="54" x14ac:dyDescent="0.25">
      <c r="A112" s="79" t="s">
        <v>115</v>
      </c>
      <c r="B112" s="79" t="s">
        <v>134</v>
      </c>
      <c r="C112" s="2"/>
      <c r="D112" s="2"/>
      <c r="E112" s="2"/>
    </row>
    <row r="113" spans="1:10" ht="36" x14ac:dyDescent="0.25">
      <c r="A113" s="3" t="s">
        <v>1</v>
      </c>
      <c r="B113" s="4" t="s">
        <v>2</v>
      </c>
      <c r="C113" s="4" t="s">
        <v>3</v>
      </c>
      <c r="D113" s="5" t="s">
        <v>4</v>
      </c>
      <c r="E113" s="6" t="s">
        <v>5</v>
      </c>
    </row>
    <row r="114" spans="1:10" ht="18" x14ac:dyDescent="0.25">
      <c r="A114" s="7" t="s">
        <v>121</v>
      </c>
      <c r="B114" s="9"/>
      <c r="C114" s="9"/>
      <c r="D114" s="9">
        <v>500000</v>
      </c>
      <c r="E114" s="9">
        <f>D114</f>
        <v>500000</v>
      </c>
    </row>
    <row r="115" spans="1:10" ht="18" x14ac:dyDescent="0.25">
      <c r="A115" s="7" t="s">
        <v>47</v>
      </c>
      <c r="B115" s="9"/>
      <c r="C115" s="9"/>
      <c r="D115" s="9">
        <v>750000</v>
      </c>
      <c r="E115" s="8">
        <f>D115</f>
        <v>750000</v>
      </c>
    </row>
    <row r="116" spans="1:10" ht="18" x14ac:dyDescent="0.25">
      <c r="A116" s="7" t="s">
        <v>40</v>
      </c>
      <c r="B116" s="12"/>
      <c r="C116" s="12"/>
      <c r="D116" s="12">
        <v>400000</v>
      </c>
      <c r="E116" s="12">
        <f t="shared" ref="E116:E118" si="9">SUM(B116:D116)</f>
        <v>400000</v>
      </c>
    </row>
    <row r="117" spans="1:10" ht="18" x14ac:dyDescent="0.25">
      <c r="A117" s="7" t="s">
        <v>41</v>
      </c>
      <c r="B117" s="12"/>
      <c r="C117" s="12"/>
      <c r="D117" s="9">
        <v>100000</v>
      </c>
      <c r="E117" s="12">
        <f t="shared" si="9"/>
        <v>100000</v>
      </c>
      <c r="F117" s="47"/>
      <c r="G117" s="47"/>
      <c r="H117" s="47"/>
      <c r="I117" s="47"/>
      <c r="J117" s="47"/>
    </row>
    <row r="118" spans="1:10" ht="18" x14ac:dyDescent="0.25">
      <c r="A118" s="7" t="s">
        <v>122</v>
      </c>
      <c r="B118" s="12"/>
      <c r="C118" s="12"/>
      <c r="D118" s="9">
        <v>23852</v>
      </c>
      <c r="E118" s="27">
        <f t="shared" si="9"/>
        <v>23852</v>
      </c>
    </row>
    <row r="119" spans="1:10" ht="18" x14ac:dyDescent="0.25">
      <c r="A119" s="13" t="s">
        <v>10</v>
      </c>
      <c r="B119" s="14">
        <f>SUM(B114:B118)</f>
        <v>0</v>
      </c>
      <c r="C119" s="14">
        <f>SUM(C114:C118)</f>
        <v>0</v>
      </c>
      <c r="D119" s="14">
        <f>SUM(D114:D118)</f>
        <v>1773852</v>
      </c>
      <c r="E119" s="14">
        <f>SUM(E114:E118)</f>
        <v>1773852</v>
      </c>
    </row>
    <row r="120" spans="1:10" ht="18" x14ac:dyDescent="0.25">
      <c r="A120" s="45" t="s">
        <v>44</v>
      </c>
      <c r="B120" s="12"/>
      <c r="C120" s="12"/>
      <c r="D120" s="12"/>
      <c r="E120" s="46">
        <v>1500000</v>
      </c>
    </row>
    <row r="121" spans="1:10" ht="18" x14ac:dyDescent="0.25">
      <c r="A121" s="45" t="s">
        <v>123</v>
      </c>
      <c r="B121" s="12"/>
      <c r="C121" s="12"/>
      <c r="D121" s="12"/>
      <c r="E121" s="46">
        <v>2772000</v>
      </c>
    </row>
    <row r="122" spans="1:10" ht="18" x14ac:dyDescent="0.25">
      <c r="A122" s="13" t="s">
        <v>13</v>
      </c>
      <c r="B122" s="14"/>
      <c r="C122" s="14"/>
      <c r="D122" s="14"/>
      <c r="E122" s="14">
        <f>SUM(E120:E121)</f>
        <v>4272000</v>
      </c>
    </row>
    <row r="123" spans="1:10" ht="18" x14ac:dyDescent="0.25">
      <c r="A123" s="22" t="s">
        <v>14</v>
      </c>
      <c r="B123" s="23"/>
      <c r="C123" s="23"/>
      <c r="D123" s="23"/>
      <c r="E123" s="23">
        <f>E122-E119</f>
        <v>2498148</v>
      </c>
    </row>
    <row r="124" spans="1:10" ht="18" x14ac:dyDescent="0.25">
      <c r="A124" s="17"/>
      <c r="B124" s="19"/>
      <c r="C124" s="19"/>
      <c r="D124" s="19"/>
      <c r="E124" s="19"/>
    </row>
    <row r="125" spans="1:10" ht="18" x14ac:dyDescent="0.25">
      <c r="A125" s="24" t="s">
        <v>15</v>
      </c>
      <c r="B125" s="19"/>
      <c r="C125" s="19"/>
      <c r="D125" s="19"/>
      <c r="E125" s="26">
        <f>E122-E119</f>
        <v>2498148</v>
      </c>
    </row>
    <row r="126" spans="1:10" s="39" customFormat="1" ht="18" x14ac:dyDescent="0.25">
      <c r="A126" s="37"/>
      <c r="B126" s="19"/>
      <c r="C126" s="19"/>
      <c r="D126" s="19"/>
      <c r="E126" s="38"/>
    </row>
    <row r="127" spans="1:10" ht="36" x14ac:dyDescent="0.25">
      <c r="A127" s="1" t="s">
        <v>45</v>
      </c>
      <c r="B127" s="2"/>
      <c r="C127" s="2"/>
      <c r="D127" s="2"/>
      <c r="E127" s="2"/>
    </row>
    <row r="128" spans="1:10" ht="36" x14ac:dyDescent="0.25">
      <c r="A128" s="3" t="s">
        <v>1</v>
      </c>
      <c r="B128" s="4" t="s">
        <v>2</v>
      </c>
      <c r="C128" s="4" t="s">
        <v>3</v>
      </c>
      <c r="D128" s="5" t="s">
        <v>4</v>
      </c>
      <c r="E128" s="6" t="s">
        <v>5</v>
      </c>
    </row>
    <row r="129" spans="1:10" ht="18" x14ac:dyDescent="0.25">
      <c r="A129" s="7" t="s">
        <v>46</v>
      </c>
      <c r="B129" s="9">
        <f>(300840+290812)*12+480000</f>
        <v>7579824</v>
      </c>
      <c r="C129" s="9">
        <f>B129*0.13</f>
        <v>985377.12</v>
      </c>
      <c r="D129" s="12"/>
      <c r="E129" s="27">
        <f>SUM(B129:D129)</f>
        <v>8565201.1199999992</v>
      </c>
    </row>
    <row r="130" spans="1:10" ht="18" x14ac:dyDescent="0.25">
      <c r="A130" s="7" t="s">
        <v>7</v>
      </c>
      <c r="B130" s="9"/>
      <c r="C130" s="9"/>
      <c r="D130" s="9">
        <f>(15000*2)</f>
        <v>30000</v>
      </c>
      <c r="E130" s="8">
        <f t="shared" ref="E130:E141" si="10">SUM(B130:D130)</f>
        <v>30000</v>
      </c>
    </row>
    <row r="131" spans="1:10" ht="18.75" x14ac:dyDescent="0.3">
      <c r="A131" s="7" t="s">
        <v>40</v>
      </c>
      <c r="B131" s="44"/>
      <c r="C131" s="44"/>
      <c r="D131" s="12">
        <v>200000</v>
      </c>
      <c r="E131" s="12">
        <f t="shared" si="10"/>
        <v>200000</v>
      </c>
    </row>
    <row r="132" spans="1:10" ht="18" x14ac:dyDescent="0.25">
      <c r="A132" s="7" t="s">
        <v>41</v>
      </c>
      <c r="B132" s="12"/>
      <c r="C132" s="12"/>
      <c r="D132" s="9">
        <v>270000</v>
      </c>
      <c r="E132" s="12">
        <f t="shared" si="10"/>
        <v>270000</v>
      </c>
    </row>
    <row r="133" spans="1:10" ht="18" x14ac:dyDescent="0.25">
      <c r="A133" s="7" t="s">
        <v>47</v>
      </c>
      <c r="B133" s="28"/>
      <c r="C133" s="12"/>
      <c r="D133" s="9">
        <v>3500000</v>
      </c>
      <c r="E133" s="12">
        <f t="shared" si="10"/>
        <v>3500000</v>
      </c>
    </row>
    <row r="134" spans="1:10" ht="18" x14ac:dyDescent="0.25">
      <c r="A134" s="7" t="s">
        <v>124</v>
      </c>
      <c r="B134" s="12"/>
      <c r="C134" s="12"/>
      <c r="D134" s="9">
        <f>(3000*12)*1.15</f>
        <v>41400</v>
      </c>
      <c r="E134" s="12">
        <f>D134</f>
        <v>41400</v>
      </c>
    </row>
    <row r="135" spans="1:10" ht="18" x14ac:dyDescent="0.25">
      <c r="A135" s="7" t="s">
        <v>48</v>
      </c>
      <c r="B135" s="12"/>
      <c r="C135" s="12"/>
      <c r="D135" s="9">
        <v>500000</v>
      </c>
      <c r="E135" s="27">
        <f>D135</f>
        <v>500000</v>
      </c>
    </row>
    <row r="136" spans="1:10" ht="18" x14ac:dyDescent="0.25">
      <c r="A136" s="84" t="s">
        <v>22</v>
      </c>
      <c r="B136" s="12"/>
      <c r="C136" s="12"/>
      <c r="D136" s="9">
        <v>115600</v>
      </c>
      <c r="E136" s="27">
        <f>D136</f>
        <v>115600</v>
      </c>
    </row>
    <row r="137" spans="1:10" ht="18" x14ac:dyDescent="0.25">
      <c r="A137" s="7" t="s">
        <v>42</v>
      </c>
      <c r="B137" s="12"/>
      <c r="C137" s="12"/>
      <c r="D137" s="9">
        <v>135000</v>
      </c>
      <c r="E137" s="27">
        <f t="shared" si="10"/>
        <v>135000</v>
      </c>
    </row>
    <row r="138" spans="1:10" ht="18" x14ac:dyDescent="0.25">
      <c r="A138" s="7" t="s">
        <v>49</v>
      </c>
      <c r="B138" s="12"/>
      <c r="C138" s="12"/>
      <c r="D138" s="12">
        <v>600000</v>
      </c>
      <c r="E138" s="27">
        <f>D138</f>
        <v>600000</v>
      </c>
    </row>
    <row r="139" spans="1:10" ht="18" x14ac:dyDescent="0.25">
      <c r="A139" s="7" t="s">
        <v>153</v>
      </c>
      <c r="B139" s="12"/>
      <c r="C139" s="12"/>
      <c r="D139" s="12">
        <v>600000</v>
      </c>
      <c r="E139" s="27">
        <f>D139</f>
        <v>600000</v>
      </c>
    </row>
    <row r="140" spans="1:10" ht="18" x14ac:dyDescent="0.25">
      <c r="A140" s="7" t="s">
        <v>125</v>
      </c>
      <c r="B140" s="12"/>
      <c r="C140" s="12"/>
      <c r="D140" s="12">
        <v>170000</v>
      </c>
      <c r="E140" s="27">
        <f>D140</f>
        <v>170000</v>
      </c>
    </row>
    <row r="141" spans="1:10" ht="18" x14ac:dyDescent="0.25">
      <c r="A141" s="7" t="s">
        <v>50</v>
      </c>
      <c r="B141" s="12"/>
      <c r="C141" s="12"/>
      <c r="D141" s="12">
        <v>1161000</v>
      </c>
      <c r="E141" s="12">
        <f t="shared" si="10"/>
        <v>1161000</v>
      </c>
    </row>
    <row r="142" spans="1:10" ht="18" x14ac:dyDescent="0.25">
      <c r="A142" s="13" t="s">
        <v>10</v>
      </c>
      <c r="B142" s="14">
        <f>SUM(B129:B141)</f>
        <v>7579824</v>
      </c>
      <c r="C142" s="14">
        <f>SUM(C129:C141)</f>
        <v>985377.12</v>
      </c>
      <c r="D142" s="14">
        <f>SUM(D129:D141)</f>
        <v>7323000</v>
      </c>
      <c r="E142" s="14">
        <f>SUM(E129:E141)</f>
        <v>15888201.119999999</v>
      </c>
    </row>
    <row r="143" spans="1:10" ht="18" x14ac:dyDescent="0.25">
      <c r="A143" s="17"/>
      <c r="B143" s="19"/>
      <c r="C143" s="19"/>
      <c r="D143" s="19"/>
      <c r="E143" s="19"/>
    </row>
    <row r="144" spans="1:10" ht="18" x14ac:dyDescent="0.25">
      <c r="A144" s="45" t="s">
        <v>44</v>
      </c>
      <c r="B144" s="12"/>
      <c r="C144" s="12"/>
      <c r="D144" s="12"/>
      <c r="E144" s="46">
        <v>14832000</v>
      </c>
      <c r="F144" s="47"/>
      <c r="G144" s="47"/>
      <c r="H144" s="47"/>
      <c r="I144" s="47"/>
      <c r="J144" s="47"/>
    </row>
    <row r="145" spans="1:10" ht="72" x14ac:dyDescent="0.25">
      <c r="A145" s="45" t="s">
        <v>51</v>
      </c>
      <c r="B145" s="12"/>
      <c r="C145" s="12"/>
      <c r="D145" s="12"/>
      <c r="E145" s="12">
        <v>5000000</v>
      </c>
      <c r="F145" s="47"/>
      <c r="G145" s="47"/>
      <c r="H145" s="47"/>
      <c r="I145" s="47"/>
      <c r="J145" s="47"/>
    </row>
    <row r="146" spans="1:10" ht="18" x14ac:dyDescent="0.25">
      <c r="A146" s="13" t="s">
        <v>13</v>
      </c>
      <c r="B146" s="14"/>
      <c r="C146" s="14"/>
      <c r="D146" s="14"/>
      <c r="E146" s="14">
        <f>E144+E145</f>
        <v>19832000</v>
      </c>
    </row>
    <row r="147" spans="1:10" ht="18" x14ac:dyDescent="0.25">
      <c r="A147" s="22" t="s">
        <v>14</v>
      </c>
      <c r="B147" s="23"/>
      <c r="C147" s="23"/>
      <c r="D147" s="23"/>
      <c r="E147" s="23">
        <f>E146-E142</f>
        <v>3943798.8800000008</v>
      </c>
    </row>
    <row r="148" spans="1:10" ht="18" x14ac:dyDescent="0.25">
      <c r="A148" s="15"/>
      <c r="B148" s="16"/>
      <c r="C148" s="16"/>
      <c r="D148" s="16"/>
      <c r="E148" s="16"/>
    </row>
    <row r="149" spans="1:10" ht="18" x14ac:dyDescent="0.25">
      <c r="A149" s="24" t="s">
        <v>15</v>
      </c>
      <c r="B149" s="19"/>
      <c r="C149" s="19"/>
      <c r="D149" s="19"/>
      <c r="E149" s="26">
        <f>E147</f>
        <v>3943798.8800000008</v>
      </c>
    </row>
    <row r="150" spans="1:10" ht="18" x14ac:dyDescent="0.25">
      <c r="A150" s="15"/>
      <c r="B150" s="16"/>
      <c r="C150" s="16"/>
      <c r="D150" s="16"/>
      <c r="E150" s="16"/>
    </row>
    <row r="151" spans="1:10" ht="18" x14ac:dyDescent="0.25">
      <c r="A151" s="1" t="s">
        <v>52</v>
      </c>
      <c r="B151" s="2"/>
      <c r="C151" s="2"/>
      <c r="D151" s="2"/>
      <c r="E151" s="2"/>
    </row>
    <row r="152" spans="1:10" ht="36" x14ac:dyDescent="0.25">
      <c r="A152" s="3" t="s">
        <v>1</v>
      </c>
      <c r="B152" s="4" t="s">
        <v>2</v>
      </c>
      <c r="C152" s="4" t="s">
        <v>3</v>
      </c>
      <c r="D152" s="5" t="s">
        <v>4</v>
      </c>
      <c r="E152" s="6" t="s">
        <v>5</v>
      </c>
    </row>
    <row r="153" spans="1:10" ht="18" x14ac:dyDescent="0.25">
      <c r="A153" s="7" t="s">
        <v>111</v>
      </c>
      <c r="B153" s="9">
        <f>(370000+294300+348820+294300)*12+960000</f>
        <v>16649040</v>
      </c>
      <c r="C153" s="9">
        <f>B153*0.13</f>
        <v>2164375.2000000002</v>
      </c>
      <c r="D153" s="12"/>
      <c r="E153" s="27">
        <f t="shared" ref="E153:E175" si="11">SUM(B153:D153)</f>
        <v>18813415.199999999</v>
      </c>
    </row>
    <row r="154" spans="1:10" ht="18" x14ac:dyDescent="0.25">
      <c r="A154" s="7" t="s">
        <v>7</v>
      </c>
      <c r="B154" s="9"/>
      <c r="C154" s="9"/>
      <c r="D154" s="9">
        <f>4*20000</f>
        <v>80000</v>
      </c>
      <c r="E154" s="27">
        <f t="shared" si="11"/>
        <v>80000</v>
      </c>
    </row>
    <row r="155" spans="1:10" ht="18" x14ac:dyDescent="0.25">
      <c r="A155" s="7" t="s">
        <v>53</v>
      </c>
      <c r="B155" s="12"/>
      <c r="C155" s="12"/>
      <c r="D155" s="12">
        <v>184800</v>
      </c>
      <c r="E155" s="27">
        <f t="shared" si="11"/>
        <v>184800</v>
      </c>
    </row>
    <row r="156" spans="1:10" ht="16.5" customHeight="1" x14ac:dyDescent="0.25">
      <c r="A156" s="84" t="s">
        <v>22</v>
      </c>
      <c r="B156" s="12"/>
      <c r="C156" s="12"/>
      <c r="D156" s="9">
        <v>150000</v>
      </c>
      <c r="E156" s="27">
        <f t="shared" si="11"/>
        <v>150000</v>
      </c>
    </row>
    <row r="157" spans="1:10" ht="18" x14ac:dyDescent="0.25">
      <c r="A157" s="7" t="s">
        <v>54</v>
      </c>
      <c r="B157" s="12"/>
      <c r="C157" s="12"/>
      <c r="D157" s="12">
        <v>228000</v>
      </c>
      <c r="E157" s="27">
        <f t="shared" si="11"/>
        <v>228000</v>
      </c>
    </row>
    <row r="158" spans="1:10" ht="18" x14ac:dyDescent="0.25">
      <c r="A158" s="7" t="s">
        <v>55</v>
      </c>
      <c r="B158" s="12"/>
      <c r="C158" s="12"/>
      <c r="D158" s="12">
        <v>200000</v>
      </c>
      <c r="E158" s="27">
        <f t="shared" si="11"/>
        <v>200000</v>
      </c>
    </row>
    <row r="159" spans="1:10" ht="18.75" x14ac:dyDescent="0.3">
      <c r="A159" s="7" t="s">
        <v>40</v>
      </c>
      <c r="B159" s="44"/>
      <c r="C159" s="44"/>
      <c r="D159" s="9">
        <v>29650000</v>
      </c>
      <c r="E159" s="27">
        <f t="shared" si="11"/>
        <v>29650000</v>
      </c>
    </row>
    <row r="160" spans="1:10" ht="18.75" x14ac:dyDescent="0.3">
      <c r="A160" s="7" t="s">
        <v>56</v>
      </c>
      <c r="B160" s="44"/>
      <c r="C160" s="44"/>
      <c r="D160" s="9">
        <v>10898792</v>
      </c>
      <c r="E160" s="27">
        <f t="shared" si="11"/>
        <v>10898792</v>
      </c>
    </row>
    <row r="161" spans="1:5" ht="18" x14ac:dyDescent="0.25">
      <c r="A161" s="7" t="s">
        <v>41</v>
      </c>
      <c r="B161" s="12"/>
      <c r="C161" s="12"/>
      <c r="D161" s="9">
        <v>8978908</v>
      </c>
      <c r="E161" s="27">
        <f t="shared" si="11"/>
        <v>8978908</v>
      </c>
    </row>
    <row r="162" spans="1:5" ht="18" x14ac:dyDescent="0.25">
      <c r="A162" s="7" t="s">
        <v>57</v>
      </c>
      <c r="B162" s="12"/>
      <c r="C162" s="12"/>
      <c r="D162" s="9">
        <v>2376000</v>
      </c>
      <c r="E162" s="27">
        <f t="shared" si="11"/>
        <v>2376000</v>
      </c>
    </row>
    <row r="163" spans="1:5" ht="18" x14ac:dyDescent="0.25">
      <c r="A163" s="7" t="s">
        <v>35</v>
      </c>
      <c r="B163" s="12"/>
      <c r="C163" s="12"/>
      <c r="D163" s="9">
        <v>1000000</v>
      </c>
      <c r="E163" s="27">
        <f>D163</f>
        <v>1000000</v>
      </c>
    </row>
    <row r="164" spans="1:5" ht="18" x14ac:dyDescent="0.25">
      <c r="A164" s="7" t="s">
        <v>58</v>
      </c>
      <c r="B164" s="12"/>
      <c r="C164" s="12"/>
      <c r="D164" s="12">
        <v>700000</v>
      </c>
      <c r="E164" s="27">
        <f t="shared" si="11"/>
        <v>700000</v>
      </c>
    </row>
    <row r="165" spans="1:5" ht="18" x14ac:dyDescent="0.25">
      <c r="A165" s="7" t="s">
        <v>43</v>
      </c>
      <c r="B165" s="12"/>
      <c r="C165" s="12"/>
      <c r="D165" s="12">
        <v>450000</v>
      </c>
      <c r="E165" s="27">
        <f t="shared" si="11"/>
        <v>450000</v>
      </c>
    </row>
    <row r="166" spans="1:5" ht="18" x14ac:dyDescent="0.25">
      <c r="A166" s="7" t="s">
        <v>116</v>
      </c>
      <c r="B166" s="12"/>
      <c r="C166" s="12"/>
      <c r="D166" s="12">
        <v>150000</v>
      </c>
      <c r="E166" s="27">
        <f t="shared" si="11"/>
        <v>150000</v>
      </c>
    </row>
    <row r="167" spans="1:5" ht="18" x14ac:dyDescent="0.25">
      <c r="A167" s="7" t="s">
        <v>126</v>
      </c>
      <c r="B167" s="12"/>
      <c r="C167" s="12"/>
      <c r="D167" s="12">
        <v>300000</v>
      </c>
      <c r="E167" s="27">
        <f t="shared" si="11"/>
        <v>300000</v>
      </c>
    </row>
    <row r="168" spans="1:5" ht="18" x14ac:dyDescent="0.25">
      <c r="A168" s="7" t="s">
        <v>127</v>
      </c>
      <c r="B168" s="12"/>
      <c r="C168" s="12"/>
      <c r="D168" s="12">
        <v>700000</v>
      </c>
      <c r="E168" s="27">
        <f t="shared" si="11"/>
        <v>700000</v>
      </c>
    </row>
    <row r="169" spans="1:5" ht="30.75" x14ac:dyDescent="0.25">
      <c r="A169" s="7" t="s">
        <v>128</v>
      </c>
      <c r="B169" s="12"/>
      <c r="C169" s="12"/>
      <c r="D169" s="12">
        <v>1900000</v>
      </c>
      <c r="E169" s="27">
        <f t="shared" si="11"/>
        <v>1900000</v>
      </c>
    </row>
    <row r="170" spans="1:5" ht="18" x14ac:dyDescent="0.25">
      <c r="A170" s="7" t="s">
        <v>59</v>
      </c>
      <c r="B170" s="12"/>
      <c r="C170" s="12"/>
      <c r="D170" s="12">
        <v>60000</v>
      </c>
      <c r="E170" s="27">
        <f t="shared" si="11"/>
        <v>60000</v>
      </c>
    </row>
    <row r="171" spans="1:5" ht="18" x14ac:dyDescent="0.25">
      <c r="A171" s="7" t="s">
        <v>60</v>
      </c>
      <c r="B171" s="12"/>
      <c r="C171" s="12"/>
      <c r="D171" s="12">
        <v>1800000</v>
      </c>
      <c r="E171" s="27">
        <f t="shared" si="11"/>
        <v>1800000</v>
      </c>
    </row>
    <row r="172" spans="1:5" ht="18" customHeight="1" x14ac:dyDescent="0.25">
      <c r="A172" s="7" t="s">
        <v>61</v>
      </c>
      <c r="B172" s="12"/>
      <c r="C172" s="12"/>
      <c r="D172" s="9">
        <v>450000</v>
      </c>
      <c r="E172" s="27">
        <f t="shared" si="11"/>
        <v>450000</v>
      </c>
    </row>
    <row r="173" spans="1:5" ht="18" customHeight="1" x14ac:dyDescent="0.25">
      <c r="A173" s="7" t="s">
        <v>159</v>
      </c>
      <c r="B173" s="12"/>
      <c r="C173" s="12"/>
      <c r="D173" s="9">
        <v>80000</v>
      </c>
      <c r="E173" s="27">
        <f t="shared" si="11"/>
        <v>80000</v>
      </c>
    </row>
    <row r="174" spans="1:5" ht="18" x14ac:dyDescent="0.25">
      <c r="A174" s="7" t="s">
        <v>62</v>
      </c>
      <c r="B174" s="12"/>
      <c r="C174" s="12"/>
      <c r="D174" s="9">
        <v>2960000</v>
      </c>
      <c r="E174" s="27">
        <f t="shared" si="11"/>
        <v>2960000</v>
      </c>
    </row>
    <row r="175" spans="1:5" ht="18" x14ac:dyDescent="0.25">
      <c r="A175" s="7" t="s">
        <v>129</v>
      </c>
      <c r="B175" s="12"/>
      <c r="C175" s="12"/>
      <c r="D175" s="9">
        <v>1300000</v>
      </c>
      <c r="E175" s="27">
        <f t="shared" si="11"/>
        <v>1300000</v>
      </c>
    </row>
    <row r="176" spans="1:5" ht="18" x14ac:dyDescent="0.25">
      <c r="A176" s="13" t="s">
        <v>10</v>
      </c>
      <c r="B176" s="14">
        <f>SUM(B153:B174)</f>
        <v>16649040</v>
      </c>
      <c r="C176" s="14">
        <f>SUM(C153:C174)</f>
        <v>2164375.2000000002</v>
      </c>
      <c r="D176" s="14">
        <f>SUM(D153:D175)</f>
        <v>64596500</v>
      </c>
      <c r="E176" s="14">
        <f>SUM(E153:E175)</f>
        <v>83409915.200000003</v>
      </c>
    </row>
    <row r="177" spans="1:5" ht="36" x14ac:dyDescent="0.25">
      <c r="A177" s="15"/>
      <c r="B177" s="16"/>
      <c r="C177" s="16"/>
      <c r="D177" s="16"/>
      <c r="E177" s="48" t="s">
        <v>11</v>
      </c>
    </row>
    <row r="178" spans="1:5" ht="18" x14ac:dyDescent="0.25">
      <c r="A178" s="11" t="s">
        <v>63</v>
      </c>
      <c r="B178" s="12"/>
      <c r="C178" s="12"/>
      <c r="D178" s="12"/>
      <c r="E178" s="12">
        <v>2800000</v>
      </c>
    </row>
    <row r="179" spans="1:5" ht="36.75" x14ac:dyDescent="0.3">
      <c r="A179" s="78" t="s">
        <v>64</v>
      </c>
      <c r="B179" s="44"/>
      <c r="C179" s="44"/>
      <c r="D179" s="12"/>
      <c r="E179" s="12">
        <v>4200000</v>
      </c>
    </row>
    <row r="180" spans="1:5" ht="36" x14ac:dyDescent="0.25">
      <c r="A180" s="11" t="s">
        <v>65</v>
      </c>
      <c r="B180" s="28"/>
      <c r="C180" s="28"/>
      <c r="D180" s="28"/>
      <c r="E180" s="9">
        <v>198000</v>
      </c>
    </row>
    <row r="181" spans="1:5" ht="18" x14ac:dyDescent="0.25">
      <c r="A181" s="50" t="s">
        <v>44</v>
      </c>
      <c r="B181" s="51"/>
      <c r="C181" s="51"/>
      <c r="D181" s="51"/>
      <c r="E181" s="46">
        <v>80000000</v>
      </c>
    </row>
    <row r="182" spans="1:5" ht="18" x14ac:dyDescent="0.25">
      <c r="A182" s="13" t="s">
        <v>13</v>
      </c>
      <c r="B182" s="14"/>
      <c r="C182" s="14"/>
      <c r="D182" s="14"/>
      <c r="E182" s="14">
        <f>SUM(E178:E181)</f>
        <v>87198000</v>
      </c>
    </row>
    <row r="183" spans="1:5" ht="18" x14ac:dyDescent="0.25">
      <c r="A183" s="20"/>
      <c r="B183" s="21"/>
      <c r="C183" s="21"/>
      <c r="D183" s="21"/>
      <c r="E183" s="21"/>
    </row>
    <row r="184" spans="1:5" ht="18" x14ac:dyDescent="0.25">
      <c r="A184" s="22" t="s">
        <v>14</v>
      </c>
      <c r="B184" s="23"/>
      <c r="C184" s="23"/>
      <c r="D184" s="23"/>
      <c r="E184" s="23">
        <f>E182-E176</f>
        <v>3788084.799999997</v>
      </c>
    </row>
    <row r="185" spans="1:5" ht="18" x14ac:dyDescent="0.25">
      <c r="A185" s="17"/>
      <c r="B185" s="19"/>
      <c r="C185" s="19"/>
      <c r="D185" s="19"/>
      <c r="E185" s="19"/>
    </row>
    <row r="186" spans="1:5" ht="18" x14ac:dyDescent="0.25">
      <c r="A186" s="24" t="s">
        <v>15</v>
      </c>
      <c r="B186" s="19"/>
      <c r="C186" s="19"/>
      <c r="D186" s="19"/>
      <c r="E186" s="26">
        <f>E184</f>
        <v>3788084.799999997</v>
      </c>
    </row>
    <row r="187" spans="1:5" ht="18" x14ac:dyDescent="0.25">
      <c r="A187" s="20"/>
      <c r="B187" s="21"/>
      <c r="C187" s="21"/>
      <c r="D187" s="21"/>
      <c r="E187" s="21"/>
    </row>
    <row r="188" spans="1:5" ht="36" x14ac:dyDescent="0.25">
      <c r="A188" s="1" t="s">
        <v>164</v>
      </c>
      <c r="B188" s="2"/>
      <c r="C188" s="2"/>
      <c r="D188" s="2"/>
      <c r="E188" s="2"/>
    </row>
    <row r="189" spans="1:5" ht="36" x14ac:dyDescent="0.25">
      <c r="A189" s="3" t="s">
        <v>1</v>
      </c>
      <c r="B189" s="4" t="s">
        <v>2</v>
      </c>
      <c r="C189" s="4" t="s">
        <v>3</v>
      </c>
      <c r="D189" s="5" t="s">
        <v>4</v>
      </c>
      <c r="E189" s="6" t="s">
        <v>5</v>
      </c>
    </row>
    <row r="190" spans="1:5" ht="18" x14ac:dyDescent="0.25">
      <c r="A190" s="91" t="s">
        <v>157</v>
      </c>
      <c r="B190" s="8">
        <f>(450000*12)+(350000*12)+240000</f>
        <v>9840000</v>
      </c>
      <c r="C190" s="9">
        <f>B190*0.13</f>
        <v>1279200</v>
      </c>
      <c r="D190" s="8"/>
      <c r="E190" s="8">
        <f>SUM(B190:D190)</f>
        <v>11119200</v>
      </c>
    </row>
    <row r="191" spans="1:5" ht="18" x14ac:dyDescent="0.25">
      <c r="A191" s="7" t="s">
        <v>117</v>
      </c>
      <c r="B191" s="9">
        <v>600000</v>
      </c>
      <c r="C191" s="9">
        <f>B191*0.13</f>
        <v>78000</v>
      </c>
      <c r="D191" s="9"/>
      <c r="E191" s="8">
        <f t="shared" ref="E191" si="12">SUM(B191:D191)</f>
        <v>678000</v>
      </c>
    </row>
    <row r="192" spans="1:5" ht="19.5" customHeight="1" x14ac:dyDescent="0.25">
      <c r="A192" s="7" t="s">
        <v>7</v>
      </c>
      <c r="B192" s="9"/>
      <c r="C192" s="9"/>
      <c r="D192" s="9">
        <v>62000</v>
      </c>
      <c r="E192" s="9">
        <f>D192</f>
        <v>62000</v>
      </c>
    </row>
    <row r="193" spans="1:10" ht="18" x14ac:dyDescent="0.25">
      <c r="A193" s="7" t="s">
        <v>66</v>
      </c>
      <c r="B193" s="12"/>
      <c r="C193" s="12"/>
      <c r="D193" s="12">
        <v>108000</v>
      </c>
      <c r="E193" s="27">
        <f t="shared" ref="E193:E204" si="13">SUM(B193:D193)</f>
        <v>108000</v>
      </c>
      <c r="F193" s="47"/>
      <c r="G193" s="47"/>
      <c r="H193" s="47"/>
      <c r="I193" s="47"/>
      <c r="J193" s="47"/>
    </row>
    <row r="194" spans="1:10" ht="18" x14ac:dyDescent="0.25">
      <c r="A194" s="7" t="s">
        <v>67</v>
      </c>
      <c r="B194" s="12"/>
      <c r="C194" s="12"/>
      <c r="D194" s="12">
        <v>414000</v>
      </c>
      <c r="E194" s="27">
        <f t="shared" si="13"/>
        <v>414000</v>
      </c>
    </row>
    <row r="195" spans="1:10" ht="18" x14ac:dyDescent="0.25">
      <c r="A195" s="7" t="s">
        <v>68</v>
      </c>
      <c r="B195" s="12"/>
      <c r="C195" s="12"/>
      <c r="D195" s="12">
        <v>200000</v>
      </c>
      <c r="E195" s="27">
        <f t="shared" si="13"/>
        <v>200000</v>
      </c>
    </row>
    <row r="196" spans="1:10" ht="18" x14ac:dyDescent="0.25">
      <c r="A196" s="7" t="s">
        <v>69</v>
      </c>
      <c r="B196" s="12"/>
      <c r="C196" s="12"/>
      <c r="D196" s="12">
        <v>360000</v>
      </c>
      <c r="E196" s="27">
        <f t="shared" si="13"/>
        <v>360000</v>
      </c>
    </row>
    <row r="197" spans="1:10" ht="18" x14ac:dyDescent="0.25">
      <c r="A197" s="7" t="s">
        <v>70</v>
      </c>
      <c r="B197" s="12"/>
      <c r="C197" s="12"/>
      <c r="D197" s="12">
        <v>280000</v>
      </c>
      <c r="E197" s="27">
        <f t="shared" si="13"/>
        <v>280000</v>
      </c>
    </row>
    <row r="198" spans="1:10" ht="18" x14ac:dyDescent="0.25">
      <c r="A198" s="84" t="s">
        <v>71</v>
      </c>
      <c r="B198" s="12"/>
      <c r="C198" s="12"/>
      <c r="D198" s="9">
        <v>115600</v>
      </c>
      <c r="E198" s="27">
        <f t="shared" si="13"/>
        <v>115600</v>
      </c>
    </row>
    <row r="199" spans="1:10" ht="18" x14ac:dyDescent="0.25">
      <c r="A199" s="7" t="s">
        <v>72</v>
      </c>
      <c r="B199" s="12"/>
      <c r="C199" s="12"/>
      <c r="D199" s="12">
        <v>464000</v>
      </c>
      <c r="E199" s="27">
        <f t="shared" si="13"/>
        <v>464000</v>
      </c>
    </row>
    <row r="200" spans="1:10" ht="30.75" x14ac:dyDescent="0.25">
      <c r="A200" s="7" t="s">
        <v>73</v>
      </c>
      <c r="B200" s="12"/>
      <c r="C200" s="12"/>
      <c r="D200" s="12">
        <v>1700000</v>
      </c>
      <c r="E200" s="27">
        <f t="shared" si="13"/>
        <v>1700000</v>
      </c>
    </row>
    <row r="201" spans="1:10" ht="30.75" x14ac:dyDescent="0.25">
      <c r="A201" s="7" t="s">
        <v>74</v>
      </c>
      <c r="B201" s="12"/>
      <c r="C201" s="12"/>
      <c r="D201" s="12">
        <v>2000000</v>
      </c>
      <c r="E201" s="27">
        <f t="shared" si="13"/>
        <v>2000000</v>
      </c>
    </row>
    <row r="202" spans="1:10" ht="18" x14ac:dyDescent="0.25">
      <c r="A202" s="7" t="s">
        <v>75</v>
      </c>
      <c r="B202" s="12"/>
      <c r="C202" s="12"/>
      <c r="D202" s="12">
        <v>500000</v>
      </c>
      <c r="E202" s="27">
        <f t="shared" ref="E202:E203" si="14">SUM(B202:D202)</f>
        <v>500000</v>
      </c>
    </row>
    <row r="203" spans="1:10" ht="18" x14ac:dyDescent="0.25">
      <c r="A203" s="7" t="s">
        <v>76</v>
      </c>
      <c r="B203" s="12"/>
      <c r="C203" s="12"/>
      <c r="D203" s="12">
        <v>100000</v>
      </c>
      <c r="E203" s="27">
        <f t="shared" si="14"/>
        <v>100000</v>
      </c>
    </row>
    <row r="204" spans="1:10" ht="18" x14ac:dyDescent="0.25">
      <c r="A204" s="7" t="s">
        <v>77</v>
      </c>
      <c r="B204" s="12"/>
      <c r="C204" s="12"/>
      <c r="D204" s="12">
        <f>845000+1500000</f>
        <v>2345000</v>
      </c>
      <c r="E204" s="27">
        <f t="shared" si="13"/>
        <v>2345000</v>
      </c>
    </row>
    <row r="205" spans="1:10" ht="18" x14ac:dyDescent="0.25">
      <c r="A205" s="13" t="s">
        <v>10</v>
      </c>
      <c r="B205" s="14">
        <f>SUM(B190:B204)</f>
        <v>10440000</v>
      </c>
      <c r="C205" s="14">
        <f>SUM(C190:C204)</f>
        <v>1357200</v>
      </c>
      <c r="D205" s="14">
        <f>SUM(D190:D204)</f>
        <v>8648600</v>
      </c>
      <c r="E205" s="14">
        <f>SUM(E190:E204)</f>
        <v>20445800</v>
      </c>
    </row>
    <row r="206" spans="1:10" ht="18" x14ac:dyDescent="0.25">
      <c r="A206" s="52"/>
      <c r="B206" s="53"/>
      <c r="C206" s="53"/>
      <c r="D206" s="53"/>
      <c r="E206" s="53"/>
    </row>
    <row r="207" spans="1:10" ht="36" x14ac:dyDescent="0.25">
      <c r="A207" s="54"/>
      <c r="B207" s="55"/>
      <c r="C207" s="55"/>
      <c r="D207" s="55"/>
      <c r="E207" s="6" t="s">
        <v>11</v>
      </c>
    </row>
    <row r="208" spans="1:10" ht="23.25" customHeight="1" x14ac:dyDescent="0.3">
      <c r="A208" s="78" t="s">
        <v>78</v>
      </c>
      <c r="B208" s="44"/>
      <c r="C208" s="44"/>
      <c r="D208" s="9"/>
      <c r="E208" s="12">
        <v>4000000</v>
      </c>
    </row>
    <row r="209" spans="1:10" ht="18" x14ac:dyDescent="0.25">
      <c r="A209" s="11" t="s">
        <v>79</v>
      </c>
      <c r="B209" s="28"/>
      <c r="C209" s="28"/>
      <c r="D209" s="56"/>
      <c r="E209" s="12">
        <v>7449996</v>
      </c>
    </row>
    <row r="210" spans="1:10" ht="18" x14ac:dyDescent="0.25">
      <c r="A210" s="11" t="s">
        <v>114</v>
      </c>
      <c r="B210" s="28"/>
      <c r="C210" s="28"/>
      <c r="D210" s="56"/>
      <c r="E210" s="12">
        <v>986500</v>
      </c>
    </row>
    <row r="211" spans="1:10" ht="18" x14ac:dyDescent="0.25">
      <c r="A211" s="13" t="s">
        <v>13</v>
      </c>
      <c r="B211" s="14"/>
      <c r="C211" s="14"/>
      <c r="D211" s="14"/>
      <c r="E211" s="14">
        <f>SUM(E208:E210)</f>
        <v>12436496</v>
      </c>
    </row>
    <row r="212" spans="1:10" ht="18" x14ac:dyDescent="0.25">
      <c r="A212" s="35"/>
      <c r="B212" s="36"/>
      <c r="C212" s="36"/>
      <c r="D212" s="36"/>
      <c r="E212" s="36"/>
    </row>
    <row r="213" spans="1:10" ht="18" x14ac:dyDescent="0.25">
      <c r="A213" s="22" t="s">
        <v>13</v>
      </c>
      <c r="B213" s="23"/>
      <c r="C213" s="23"/>
      <c r="D213" s="23"/>
      <c r="E213" s="23">
        <f>SUM(E211:E212)</f>
        <v>12436496</v>
      </c>
    </row>
    <row r="214" spans="1:10" ht="18" x14ac:dyDescent="0.25">
      <c r="A214" s="15"/>
      <c r="B214" s="16"/>
      <c r="C214" s="16"/>
      <c r="D214" s="16"/>
      <c r="E214" s="16"/>
    </row>
    <row r="215" spans="1:10" ht="18" x14ac:dyDescent="0.25">
      <c r="A215" s="24" t="s">
        <v>15</v>
      </c>
      <c r="B215" s="19"/>
      <c r="C215" s="19"/>
      <c r="D215" s="19"/>
      <c r="E215" s="26">
        <f>E213-E205</f>
        <v>-8009304</v>
      </c>
    </row>
    <row r="216" spans="1:10" ht="18" x14ac:dyDescent="0.25">
      <c r="A216" s="57"/>
      <c r="B216" s="19"/>
      <c r="C216" s="19"/>
      <c r="D216" s="33"/>
      <c r="E216" s="58"/>
      <c r="F216" s="68"/>
      <c r="G216" s="68"/>
      <c r="H216" s="68"/>
      <c r="I216" s="68"/>
      <c r="J216" s="68"/>
    </row>
    <row r="217" spans="1:10" ht="18" x14ac:dyDescent="0.25">
      <c r="A217" s="59" t="s">
        <v>80</v>
      </c>
      <c r="B217" s="60"/>
      <c r="C217" s="60"/>
      <c r="D217" s="60"/>
      <c r="E217" s="60"/>
    </row>
    <row r="218" spans="1:10" ht="18" x14ac:dyDescent="0.25">
      <c r="A218" s="61"/>
      <c r="B218" s="62"/>
      <c r="C218" s="62"/>
      <c r="D218" s="62"/>
      <c r="E218" s="16"/>
    </row>
    <row r="219" spans="1:10" ht="72" x14ac:dyDescent="0.25">
      <c r="A219" s="3" t="s">
        <v>1</v>
      </c>
      <c r="B219" s="5" t="s">
        <v>81</v>
      </c>
      <c r="C219" s="5" t="s">
        <v>82</v>
      </c>
      <c r="D219" s="6" t="s">
        <v>14</v>
      </c>
      <c r="E219" s="63" t="s">
        <v>83</v>
      </c>
    </row>
    <row r="220" spans="1:10" ht="18" x14ac:dyDescent="0.25">
      <c r="A220" s="45" t="s">
        <v>0</v>
      </c>
      <c r="B220" s="12">
        <f>E13</f>
        <v>12000000</v>
      </c>
      <c r="C220" s="12">
        <f>E10</f>
        <v>10195869.199999999</v>
      </c>
      <c r="D220" s="12">
        <f t="shared" ref="D220:D229" si="15">B220-C220</f>
        <v>1804130.8000000007</v>
      </c>
      <c r="E220" s="12">
        <f t="shared" ref="E220:E229" si="16">D220</f>
        <v>1804130.8000000007</v>
      </c>
    </row>
    <row r="221" spans="1:10" ht="36" x14ac:dyDescent="0.25">
      <c r="A221" s="45" t="s">
        <v>84</v>
      </c>
      <c r="B221" s="12">
        <f>E46</f>
        <v>61500000</v>
      </c>
      <c r="C221" s="12">
        <f>E40</f>
        <v>47202356</v>
      </c>
      <c r="D221" s="12">
        <f t="shared" si="15"/>
        <v>14297644</v>
      </c>
      <c r="E221" s="12">
        <f t="shared" si="16"/>
        <v>14297644</v>
      </c>
    </row>
    <row r="222" spans="1:10" ht="18" x14ac:dyDescent="0.25">
      <c r="A222" s="45" t="str">
        <f>A51</f>
        <v>Híd és Közút üzemeltetés</v>
      </c>
      <c r="B222" s="9">
        <f>E63</f>
        <v>27500000</v>
      </c>
      <c r="C222" s="12">
        <f>E62</f>
        <v>23869720</v>
      </c>
      <c r="D222" s="12">
        <f>E66</f>
        <v>3630280</v>
      </c>
      <c r="E222" s="12">
        <f>E68</f>
        <v>3630280</v>
      </c>
    </row>
    <row r="223" spans="1:10" ht="18" x14ac:dyDescent="0.25">
      <c r="A223" s="45" t="s">
        <v>33</v>
      </c>
      <c r="B223" s="12">
        <f>E89</f>
        <v>22450980</v>
      </c>
      <c r="C223" s="12">
        <f>E85</f>
        <v>19157959.879999999</v>
      </c>
      <c r="D223" s="12">
        <f t="shared" si="15"/>
        <v>3293020.120000001</v>
      </c>
      <c r="E223" s="12">
        <f t="shared" si="16"/>
        <v>3293020.120000001</v>
      </c>
    </row>
    <row r="224" spans="1:10" ht="36" x14ac:dyDescent="0.25">
      <c r="A224" s="50" t="s">
        <v>135</v>
      </c>
      <c r="B224" s="12">
        <f>E107</f>
        <v>6568680</v>
      </c>
      <c r="C224" s="12">
        <f>E104</f>
        <v>4702000</v>
      </c>
      <c r="D224" s="12">
        <f t="shared" si="15"/>
        <v>1866680</v>
      </c>
      <c r="E224" s="12">
        <f t="shared" si="16"/>
        <v>1866680</v>
      </c>
    </row>
    <row r="225" spans="1:10" ht="54" x14ac:dyDescent="0.25">
      <c r="A225" s="50" t="s">
        <v>136</v>
      </c>
      <c r="B225" s="12">
        <f>E122</f>
        <v>4272000</v>
      </c>
      <c r="C225" s="12">
        <f>D119</f>
        <v>1773852</v>
      </c>
      <c r="D225" s="12">
        <f>E123</f>
        <v>2498148</v>
      </c>
      <c r="E225" s="12">
        <f t="shared" si="16"/>
        <v>2498148</v>
      </c>
    </row>
    <row r="226" spans="1:10" ht="18" x14ac:dyDescent="0.25">
      <c r="A226" s="50" t="s">
        <v>85</v>
      </c>
      <c r="B226" s="12">
        <f>E146</f>
        <v>19832000</v>
      </c>
      <c r="C226" s="12">
        <f>E142</f>
        <v>15888201.119999999</v>
      </c>
      <c r="D226" s="12">
        <f t="shared" si="15"/>
        <v>3943798.8800000008</v>
      </c>
      <c r="E226" s="9">
        <f t="shared" si="16"/>
        <v>3943798.8800000008</v>
      </c>
    </row>
    <row r="227" spans="1:10" ht="18" x14ac:dyDescent="0.25">
      <c r="A227" s="45" t="s">
        <v>86</v>
      </c>
      <c r="B227" s="12">
        <f>E182</f>
        <v>87198000</v>
      </c>
      <c r="C227" s="12">
        <f>E176</f>
        <v>83409915.200000003</v>
      </c>
      <c r="D227" s="12">
        <f t="shared" si="15"/>
        <v>3788084.799999997</v>
      </c>
      <c r="E227" s="12">
        <f t="shared" si="16"/>
        <v>3788084.799999997</v>
      </c>
    </row>
    <row r="228" spans="1:10" ht="36" x14ac:dyDescent="0.25">
      <c r="A228" s="45" t="s">
        <v>163</v>
      </c>
      <c r="B228" s="12">
        <f>E213</f>
        <v>12436496</v>
      </c>
      <c r="C228" s="12">
        <f>E205</f>
        <v>20445800</v>
      </c>
      <c r="D228" s="12">
        <f t="shared" si="15"/>
        <v>-8009304</v>
      </c>
      <c r="E228" s="9">
        <f t="shared" si="16"/>
        <v>-8009304</v>
      </c>
      <c r="F228" s="49"/>
      <c r="G228" s="49"/>
      <c r="H228" s="49"/>
      <c r="I228" s="49"/>
      <c r="J228" s="49"/>
    </row>
    <row r="229" spans="1:10" ht="36" x14ac:dyDescent="0.25">
      <c r="A229" s="45" t="s">
        <v>87</v>
      </c>
      <c r="B229" s="12">
        <f>E253</f>
        <v>0</v>
      </c>
      <c r="C229" s="12">
        <f>E252</f>
        <v>26965020</v>
      </c>
      <c r="D229" s="12">
        <f t="shared" si="15"/>
        <v>-26965020</v>
      </c>
      <c r="E229" s="12">
        <f t="shared" si="16"/>
        <v>-26965020</v>
      </c>
    </row>
    <row r="230" spans="1:10" ht="18" x14ac:dyDescent="0.25">
      <c r="A230" s="13" t="s">
        <v>88</v>
      </c>
      <c r="B230" s="14">
        <f>SUM(B220:B229)</f>
        <v>253758156</v>
      </c>
      <c r="C230" s="14">
        <f>SUM(C220:C229)</f>
        <v>253610693.40000001</v>
      </c>
      <c r="D230" s="64">
        <f>SUM(D220:D229)</f>
        <v>147462.60000000149</v>
      </c>
      <c r="E230" s="64">
        <f>SUM(E220:E229)</f>
        <v>147462.60000000149</v>
      </c>
      <c r="G230" s="83"/>
    </row>
    <row r="231" spans="1:10" ht="36" x14ac:dyDescent="0.25">
      <c r="A231" s="22" t="s">
        <v>89</v>
      </c>
      <c r="B231" s="65"/>
      <c r="C231" s="65"/>
      <c r="D231" s="65"/>
      <c r="E231" s="66">
        <f>D230</f>
        <v>147462.60000000149</v>
      </c>
    </row>
    <row r="232" spans="1:10" ht="18" x14ac:dyDescent="0.25">
      <c r="A232" s="57"/>
      <c r="B232" s="58"/>
      <c r="C232" s="58"/>
      <c r="D232" s="67"/>
      <c r="E232" s="58"/>
    </row>
    <row r="233" spans="1:10" ht="36" x14ac:dyDescent="0.25">
      <c r="A233" s="1" t="s">
        <v>90</v>
      </c>
      <c r="B233" s="2"/>
      <c r="C233" s="2"/>
      <c r="D233" s="2"/>
      <c r="E233" s="2"/>
    </row>
    <row r="234" spans="1:10" ht="36" x14ac:dyDescent="0.25">
      <c r="A234" s="3" t="s">
        <v>1</v>
      </c>
      <c r="B234" s="4" t="s">
        <v>2</v>
      </c>
      <c r="C234" s="4" t="s">
        <v>3</v>
      </c>
      <c r="D234" s="5" t="s">
        <v>4</v>
      </c>
      <c r="E234" s="6" t="s">
        <v>5</v>
      </c>
      <c r="F234" s="49"/>
      <c r="G234" s="49"/>
      <c r="H234" s="49"/>
      <c r="I234" s="49"/>
      <c r="J234" s="49"/>
    </row>
    <row r="235" spans="1:10" ht="18" x14ac:dyDescent="0.25">
      <c r="A235" s="101" t="s">
        <v>165</v>
      </c>
      <c r="B235" s="8">
        <f>700000*12</f>
        <v>8400000</v>
      </c>
      <c r="C235" s="9">
        <f>B235*0.13</f>
        <v>1092000</v>
      </c>
      <c r="D235" s="27"/>
      <c r="E235" s="27">
        <f>SUM(B235:D235)</f>
        <v>9492000</v>
      </c>
    </row>
    <row r="236" spans="1:10" ht="16.5" customHeight="1" x14ac:dyDescent="0.25">
      <c r="A236" s="101" t="s">
        <v>166</v>
      </c>
      <c r="B236" s="9">
        <f>150000*12</f>
        <v>1800000</v>
      </c>
      <c r="C236" s="9">
        <f>B236*0.13</f>
        <v>234000</v>
      </c>
      <c r="D236" s="12"/>
      <c r="E236" s="27">
        <f t="shared" ref="E236:E242" si="17">SUM(B236:D236)</f>
        <v>2034000</v>
      </c>
    </row>
    <row r="237" spans="1:10" ht="18" x14ac:dyDescent="0.25">
      <c r="A237" s="7" t="s">
        <v>160</v>
      </c>
      <c r="B237" s="9">
        <f>482000*12</f>
        <v>5784000</v>
      </c>
      <c r="C237" s="9">
        <f>B237*0.13</f>
        <v>751920</v>
      </c>
      <c r="D237" s="9"/>
      <c r="E237" s="8">
        <f t="shared" si="17"/>
        <v>6535920</v>
      </c>
    </row>
    <row r="238" spans="1:10" ht="30.75" x14ac:dyDescent="0.25">
      <c r="A238" s="7" t="s">
        <v>161</v>
      </c>
      <c r="B238" s="9">
        <f>12*20000</f>
        <v>240000</v>
      </c>
      <c r="C238" s="9">
        <f>B238*0.13</f>
        <v>31200</v>
      </c>
      <c r="D238" s="9"/>
      <c r="E238" s="8">
        <f>B238+C238</f>
        <v>271200</v>
      </c>
    </row>
    <row r="239" spans="1:10" ht="18" x14ac:dyDescent="0.25">
      <c r="A239" s="7" t="s">
        <v>91</v>
      </c>
      <c r="B239" s="9">
        <f>80000*12</f>
        <v>960000</v>
      </c>
      <c r="C239" s="9">
        <f>B239*0.13</f>
        <v>124800</v>
      </c>
      <c r="D239" s="12"/>
      <c r="E239" s="27">
        <f t="shared" si="17"/>
        <v>1084800</v>
      </c>
    </row>
    <row r="240" spans="1:10" ht="31.5" x14ac:dyDescent="0.25">
      <c r="A240" s="92" t="s">
        <v>162</v>
      </c>
      <c r="B240" s="9"/>
      <c r="C240" s="9"/>
      <c r="D240" s="12"/>
      <c r="E240" s="27"/>
    </row>
    <row r="241" spans="1:5" ht="18" x14ac:dyDescent="0.25">
      <c r="A241" s="7" t="s">
        <v>92</v>
      </c>
      <c r="B241" s="12"/>
      <c r="C241" s="12"/>
      <c r="D241" s="12">
        <f>13*176000</f>
        <v>2288000</v>
      </c>
      <c r="E241" s="27">
        <f t="shared" si="17"/>
        <v>2288000</v>
      </c>
    </row>
    <row r="242" spans="1:5" ht="18" x14ac:dyDescent="0.25">
      <c r="A242" s="7" t="s">
        <v>54</v>
      </c>
      <c r="B242" s="12"/>
      <c r="C242" s="12"/>
      <c r="D242" s="12">
        <f>400000*1.15</f>
        <v>459999.99999999994</v>
      </c>
      <c r="E242" s="27">
        <f t="shared" si="17"/>
        <v>459999.99999999994</v>
      </c>
    </row>
    <row r="243" spans="1:5" ht="18" x14ac:dyDescent="0.25">
      <c r="A243" s="7" t="s">
        <v>93</v>
      </c>
      <c r="B243" s="12"/>
      <c r="C243" s="12"/>
      <c r="D243" s="12">
        <v>375000</v>
      </c>
      <c r="E243" s="27">
        <f t="shared" ref="E243:E251" si="18">SUM(B243:D243)</f>
        <v>375000</v>
      </c>
    </row>
    <row r="244" spans="1:5" ht="21" customHeight="1" x14ac:dyDescent="0.25">
      <c r="A244" s="7" t="s">
        <v>113</v>
      </c>
      <c r="B244" s="28"/>
      <c r="C244" s="12"/>
      <c r="D244" s="12">
        <v>410000</v>
      </c>
      <c r="E244" s="27">
        <f t="shared" si="18"/>
        <v>410000</v>
      </c>
    </row>
    <row r="245" spans="1:5" ht="18.75" x14ac:dyDescent="0.3">
      <c r="A245" s="7" t="s">
        <v>94</v>
      </c>
      <c r="B245" s="70"/>
      <c r="C245" s="44"/>
      <c r="D245" s="9">
        <v>1281000</v>
      </c>
      <c r="E245" s="27">
        <f t="shared" si="18"/>
        <v>1281000</v>
      </c>
    </row>
    <row r="246" spans="1:5" ht="18" x14ac:dyDescent="0.25">
      <c r="A246" s="7" t="s">
        <v>95</v>
      </c>
      <c r="B246" s="12"/>
      <c r="C246" s="12"/>
      <c r="D246" s="12">
        <v>71100</v>
      </c>
      <c r="E246" s="27">
        <f t="shared" si="18"/>
        <v>71100</v>
      </c>
    </row>
    <row r="247" spans="1:5" ht="30.75" x14ac:dyDescent="0.25">
      <c r="A247" s="7" t="s">
        <v>96</v>
      </c>
      <c r="B247" s="12"/>
      <c r="C247" s="12"/>
      <c r="D247" s="12">
        <v>120000</v>
      </c>
      <c r="E247" s="27">
        <f t="shared" si="18"/>
        <v>120000</v>
      </c>
    </row>
    <row r="248" spans="1:5" ht="18" x14ac:dyDescent="0.25">
      <c r="A248" s="7" t="s">
        <v>118</v>
      </c>
      <c r="B248" s="12"/>
      <c r="C248" s="12"/>
      <c r="D248" s="12">
        <v>1000000</v>
      </c>
      <c r="E248" s="27">
        <f t="shared" si="18"/>
        <v>1000000</v>
      </c>
    </row>
    <row r="249" spans="1:5" ht="18" x14ac:dyDescent="0.25">
      <c r="A249" s="7" t="s">
        <v>97</v>
      </c>
      <c r="B249" s="12"/>
      <c r="C249" s="12"/>
      <c r="D249" s="9">
        <v>300000</v>
      </c>
      <c r="E249" s="27">
        <f t="shared" si="18"/>
        <v>300000</v>
      </c>
    </row>
    <row r="250" spans="1:5" ht="18" x14ac:dyDescent="0.25">
      <c r="A250" s="7" t="s">
        <v>98</v>
      </c>
      <c r="B250" s="12"/>
      <c r="C250" s="12"/>
      <c r="D250" s="12">
        <v>552000</v>
      </c>
      <c r="E250" s="27">
        <f t="shared" si="18"/>
        <v>552000</v>
      </c>
    </row>
    <row r="251" spans="1:5" ht="18" x14ac:dyDescent="0.25">
      <c r="A251" s="7" t="s">
        <v>99</v>
      </c>
      <c r="B251" s="12"/>
      <c r="C251" s="12"/>
      <c r="D251" s="9">
        <v>690000</v>
      </c>
      <c r="E251" s="27">
        <f t="shared" si="18"/>
        <v>690000</v>
      </c>
    </row>
    <row r="252" spans="1:5" ht="18" x14ac:dyDescent="0.25">
      <c r="A252" s="13" t="s">
        <v>10</v>
      </c>
      <c r="B252" s="14">
        <f>SUM(B235:B251)</f>
        <v>17184000</v>
      </c>
      <c r="C252" s="14">
        <f>SUM(C235:C251)</f>
        <v>2233920</v>
      </c>
      <c r="D252" s="14">
        <f>SUM(D235:D251)</f>
        <v>7547100</v>
      </c>
      <c r="E252" s="14">
        <f>SUM(E235:E251)</f>
        <v>26965020</v>
      </c>
    </row>
    <row r="253" spans="1:5" ht="18" x14ac:dyDescent="0.25">
      <c r="A253" s="11" t="s">
        <v>100</v>
      </c>
      <c r="B253" s="12"/>
      <c r="C253" s="12"/>
      <c r="D253" s="12"/>
      <c r="E253" s="12">
        <v>0</v>
      </c>
    </row>
    <row r="254" spans="1:5" ht="18" x14ac:dyDescent="0.25">
      <c r="A254" s="13" t="s">
        <v>13</v>
      </c>
      <c r="B254" s="14"/>
      <c r="C254" s="14"/>
      <c r="D254" s="14"/>
      <c r="E254" s="14">
        <f>SUM(E253:E253)</f>
        <v>0</v>
      </c>
    </row>
    <row r="255" spans="1:5" ht="18" x14ac:dyDescent="0.25">
      <c r="A255" s="22" t="s">
        <v>14</v>
      </c>
      <c r="B255" s="23"/>
      <c r="C255" s="23"/>
      <c r="D255" s="23"/>
      <c r="E255" s="23">
        <f>E254-E252</f>
        <v>-26965020</v>
      </c>
    </row>
    <row r="256" spans="1:5" ht="18" x14ac:dyDescent="0.25">
      <c r="A256" s="85"/>
      <c r="B256" s="86"/>
      <c r="C256" s="87"/>
      <c r="D256" s="88"/>
      <c r="E256" s="71"/>
    </row>
    <row r="257" spans="1:5" ht="36" x14ac:dyDescent="0.25">
      <c r="A257" s="72" t="s">
        <v>101</v>
      </c>
      <c r="B257" s="72" t="s">
        <v>156</v>
      </c>
    </row>
    <row r="258" spans="1:5" ht="18" x14ac:dyDescent="0.25">
      <c r="A258" s="11" t="s">
        <v>0</v>
      </c>
      <c r="B258" s="12">
        <f>E13</f>
        <v>12000000</v>
      </c>
    </row>
    <row r="259" spans="1:5" ht="54" x14ac:dyDescent="0.25">
      <c r="A259" s="11" t="s">
        <v>102</v>
      </c>
      <c r="B259" s="12">
        <f>E46</f>
        <v>61500000</v>
      </c>
    </row>
    <row r="260" spans="1:5" ht="18" x14ac:dyDescent="0.25">
      <c r="A260" s="45" t="s">
        <v>31</v>
      </c>
      <c r="B260" s="12">
        <f>E63</f>
        <v>27500000</v>
      </c>
    </row>
    <row r="261" spans="1:5" ht="18" x14ac:dyDescent="0.25">
      <c r="A261" s="45" t="s">
        <v>119</v>
      </c>
      <c r="B261" s="12">
        <f>E105</f>
        <v>6300000</v>
      </c>
    </row>
    <row r="262" spans="1:5" ht="18" x14ac:dyDescent="0.25">
      <c r="A262" s="11" t="s">
        <v>130</v>
      </c>
      <c r="B262" s="12">
        <f>E144</f>
        <v>14832000</v>
      </c>
    </row>
    <row r="263" spans="1:5" ht="18" x14ac:dyDescent="0.25">
      <c r="A263" s="73" t="s">
        <v>103</v>
      </c>
      <c r="B263" s="74">
        <f>SUM(B258:B262)</f>
        <v>122132000</v>
      </c>
    </row>
    <row r="264" spans="1:5" ht="54" x14ac:dyDescent="0.25">
      <c r="A264" s="50" t="s">
        <v>137</v>
      </c>
      <c r="B264" s="46">
        <f>E120</f>
        <v>1500000</v>
      </c>
    </row>
    <row r="265" spans="1:5" ht="18" x14ac:dyDescent="0.25">
      <c r="A265" s="73" t="s">
        <v>138</v>
      </c>
      <c r="B265" s="74">
        <f>B264</f>
        <v>1500000</v>
      </c>
    </row>
    <row r="266" spans="1:5" ht="36" x14ac:dyDescent="0.25">
      <c r="A266" s="75" t="s">
        <v>131</v>
      </c>
      <c r="B266" s="12">
        <v>198000</v>
      </c>
    </row>
    <row r="267" spans="1:5" ht="18" x14ac:dyDescent="0.25">
      <c r="A267" s="45" t="s">
        <v>104</v>
      </c>
      <c r="B267" s="76">
        <f>E181</f>
        <v>80000000</v>
      </c>
    </row>
    <row r="268" spans="1:5" ht="18" x14ac:dyDescent="0.25">
      <c r="A268" s="73" t="s">
        <v>139</v>
      </c>
      <c r="B268" s="80">
        <f>B267+B266</f>
        <v>80198000</v>
      </c>
    </row>
    <row r="269" spans="1:5" ht="18" x14ac:dyDescent="0.25">
      <c r="A269" s="81" t="s">
        <v>105</v>
      </c>
      <c r="B269" s="82">
        <f>B268+B265+B263</f>
        <v>203830000</v>
      </c>
      <c r="C269" s="83"/>
    </row>
    <row r="270" spans="1:5" ht="18" x14ac:dyDescent="0.25">
      <c r="A270" s="20"/>
      <c r="B270" s="21"/>
      <c r="C270" s="16"/>
    </row>
    <row r="271" spans="1:5" ht="18" x14ac:dyDescent="0.25">
      <c r="A271" s="21" t="s">
        <v>106</v>
      </c>
      <c r="B271" s="16"/>
      <c r="C271" s="16"/>
      <c r="D271" s="16"/>
      <c r="E271" s="16"/>
    </row>
    <row r="272" spans="1:5" ht="30.75" x14ac:dyDescent="0.25">
      <c r="A272" s="69" t="s">
        <v>102</v>
      </c>
      <c r="B272" s="12"/>
      <c r="C272" s="12"/>
      <c r="D272" s="12">
        <f>D39</f>
        <v>400000</v>
      </c>
      <c r="E272" s="16"/>
    </row>
    <row r="273" spans="1:5" ht="18" x14ac:dyDescent="0.25">
      <c r="A273" s="69" t="s">
        <v>33</v>
      </c>
      <c r="B273" s="12"/>
      <c r="C273" s="12"/>
      <c r="D273" s="12">
        <f>E84</f>
        <v>200000</v>
      </c>
      <c r="E273" s="16"/>
    </row>
    <row r="274" spans="1:5" ht="18" x14ac:dyDescent="0.25">
      <c r="A274" s="69" t="s">
        <v>107</v>
      </c>
      <c r="B274" s="12"/>
      <c r="C274" s="12"/>
      <c r="D274" s="12">
        <f>D141</f>
        <v>1161000</v>
      </c>
      <c r="E274" s="16"/>
    </row>
    <row r="275" spans="1:5" ht="30.75" x14ac:dyDescent="0.25">
      <c r="A275" s="69" t="s">
        <v>108</v>
      </c>
      <c r="B275" s="12"/>
      <c r="C275" s="12"/>
      <c r="D275" s="12">
        <f>E204</f>
        <v>2345000</v>
      </c>
      <c r="E275" s="16"/>
    </row>
    <row r="276" spans="1:5" ht="18" x14ac:dyDescent="0.25">
      <c r="A276" s="64" t="s">
        <v>109</v>
      </c>
      <c r="B276" s="64"/>
      <c r="C276" s="64"/>
      <c r="D276" s="64">
        <f>SUM(D272:D275)</f>
        <v>4106000</v>
      </c>
      <c r="E276" s="16"/>
    </row>
    <row r="277" spans="1:5" ht="18" x14ac:dyDescent="0.25">
      <c r="E277" s="16"/>
    </row>
    <row r="278" spans="1:5" ht="15.75" x14ac:dyDescent="0.25">
      <c r="A278" s="77"/>
    </row>
  </sheetData>
  <mergeCells count="5">
    <mergeCell ref="A63:A64"/>
    <mergeCell ref="B63:B64"/>
    <mergeCell ref="C63:C64"/>
    <mergeCell ref="D63:D64"/>
    <mergeCell ref="E63:E64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6" manualBreakCount="6">
    <brk id="49" max="4" man="1"/>
    <brk id="92" max="4" man="1"/>
    <brk id="126" max="4" man="1"/>
    <brk id="150" max="4" man="1"/>
    <brk id="186" max="4" man="1"/>
    <brk id="2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2025</vt:lpstr>
      <vt:lpstr>'2025'!Nyomtatási_terület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Polgármester</cp:lastModifiedBy>
  <cp:lastPrinted>2024-12-04T14:07:03Z</cp:lastPrinted>
  <dcterms:created xsi:type="dcterms:W3CDTF">2023-11-15T09:58:47Z</dcterms:created>
  <dcterms:modified xsi:type="dcterms:W3CDTF">2024-12-09T12:49:47Z</dcterms:modified>
</cp:coreProperties>
</file>