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énzügy\Költségvetés\ktgv_2025\KÖH\Előterjesztés anyagai\.... sz. et. KÖH 2025. évi költségvetés III. számú módosítása Várdomb Adóügyi iroda miatt\"/>
    </mc:Choice>
  </mc:AlternateContent>
  <bookViews>
    <workbookView xWindow="0" yWindow="0" windowWidth="21570" windowHeight="7980"/>
  </bookViews>
  <sheets>
    <sheet name="Költségvetés" sheetId="16" r:id="rId1"/>
    <sheet name="1.mell.Kiadások" sheetId="8" r:id="rId2"/>
    <sheet name="2.mell.Bevételek" sheetId="5" r:id="rId3"/>
    <sheet name="Arányszámok" sheetId="14" state="hidden" r:id="rId4"/>
  </sheets>
  <externalReferences>
    <externalReference r:id="rId5"/>
  </externalReferences>
  <definedNames>
    <definedName name="_xlnm.Print_Area" localSheetId="1">'1.mell.Kiadások'!$A$2:$P$24</definedName>
    <definedName name="_xlnm.Print_Area" localSheetId="2">'2.mell.Bevételek'!$A$1:$P$41</definedName>
  </definedNames>
  <calcPr calcId="162913"/>
</workbook>
</file>

<file path=xl/calcChain.xml><?xml version="1.0" encoding="utf-8"?>
<calcChain xmlns="http://schemas.openxmlformats.org/spreadsheetml/2006/main">
  <c r="I38" i="5" l="1"/>
  <c r="I22" i="5"/>
  <c r="P10" i="5"/>
  <c r="I40" i="5"/>
  <c r="C29" i="5"/>
  <c r="I3" i="8"/>
  <c r="O3" i="8"/>
  <c r="O18" i="5"/>
  <c r="M22" i="5" l="1"/>
  <c r="N22" i="5"/>
  <c r="J22" i="8"/>
  <c r="K22" i="8"/>
  <c r="L22" i="8"/>
  <c r="M22" i="8"/>
  <c r="N22" i="8"/>
  <c r="E42" i="16" l="1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39" i="16"/>
  <c r="E40" i="16"/>
  <c r="E41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20" i="16"/>
  <c r="E59" i="16"/>
  <c r="O13" i="8" l="1"/>
  <c r="P3" i="8"/>
  <c r="C3" i="8"/>
  <c r="B3" i="8"/>
  <c r="C49" i="16"/>
  <c r="C48" i="16"/>
  <c r="P18" i="8" l="1"/>
  <c r="P16" i="8"/>
  <c r="P17" i="8"/>
  <c r="O14" i="8"/>
  <c r="L14" i="8"/>
  <c r="L13" i="8" l="1"/>
  <c r="K3" i="8"/>
  <c r="K13" i="8"/>
  <c r="J13" i="8"/>
  <c r="I13" i="8"/>
  <c r="L3" i="8"/>
  <c r="J3" i="8"/>
  <c r="P18" i="5"/>
  <c r="I17" i="5"/>
  <c r="C17" i="5"/>
  <c r="C3" i="5"/>
  <c r="B12" i="8"/>
  <c r="H12" i="8" s="1"/>
  <c r="C13" i="8"/>
  <c r="C41" i="16"/>
  <c r="I21" i="5" l="1"/>
  <c r="S20" i="5"/>
  <c r="H25" i="8" l="1"/>
  <c r="P6" i="5"/>
  <c r="P21" i="8" l="1"/>
  <c r="P20" i="8"/>
  <c r="G22" i="8"/>
  <c r="F22" i="8"/>
  <c r="E22" i="8"/>
  <c r="H21" i="8"/>
  <c r="H20" i="8"/>
  <c r="P12" i="5"/>
  <c r="P11" i="5"/>
  <c r="J21" i="5" l="1"/>
  <c r="K21" i="5"/>
  <c r="L21" i="5"/>
  <c r="O21" i="5"/>
  <c r="I25" i="8"/>
  <c r="O25" i="8"/>
  <c r="N25" i="8"/>
  <c r="M25" i="8"/>
  <c r="L25" i="8"/>
  <c r="K25" i="8"/>
  <c r="J25" i="8"/>
  <c r="P21" i="5" l="1"/>
  <c r="P9" i="5" l="1"/>
  <c r="C12" i="8" l="1"/>
  <c r="H3" i="8"/>
  <c r="C22" i="8"/>
  <c r="I12" i="8" l="1"/>
  <c r="I22" i="8" s="1"/>
  <c r="P14" i="8"/>
  <c r="P13" i="8"/>
  <c r="P19" i="5"/>
  <c r="H18" i="8"/>
  <c r="H9" i="8"/>
  <c r="P9" i="8" s="1"/>
  <c r="Q9" i="8" s="1"/>
  <c r="H11" i="8"/>
  <c r="P11" i="8" s="1"/>
  <c r="Q11" i="8" s="1"/>
  <c r="H10" i="8"/>
  <c r="P10" i="8" s="1"/>
  <c r="I24" i="8" l="1"/>
  <c r="K28" i="14"/>
  <c r="E27" i="14"/>
  <c r="M15" i="14"/>
  <c r="N11" i="14" s="1"/>
  <c r="O11" i="14" s="1"/>
  <c r="N12" i="14" l="1"/>
  <c r="I25" i="14" s="1"/>
  <c r="L25" i="14" s="1"/>
  <c r="F3" i="5"/>
  <c r="I24" i="14"/>
  <c r="L24" i="14" s="1"/>
  <c r="N10" i="14"/>
  <c r="O10" i="14" s="1"/>
  <c r="N14" i="14"/>
  <c r="O14" i="14" s="1"/>
  <c r="N13" i="14"/>
  <c r="K3" i="5" l="1"/>
  <c r="K22" i="5" s="1"/>
  <c r="G3" i="5"/>
  <c r="O13" i="14"/>
  <c r="E3" i="5"/>
  <c r="J3" i="5" s="1"/>
  <c r="J22" i="5" s="1"/>
  <c r="O12" i="14"/>
  <c r="O18" i="14" s="1"/>
  <c r="N15" i="14"/>
  <c r="I23" i="14"/>
  <c r="D3" i="5"/>
  <c r="I3" i="5" s="1"/>
  <c r="I26" i="14"/>
  <c r="L26" i="14" s="1"/>
  <c r="I27" i="14"/>
  <c r="L27" i="14" s="1"/>
  <c r="H3" i="5"/>
  <c r="P20" i="5"/>
  <c r="P16" i="5"/>
  <c r="P15" i="5"/>
  <c r="P14" i="5"/>
  <c r="P13" i="5"/>
  <c r="P8" i="5"/>
  <c r="P7" i="5"/>
  <c r="J12" i="8"/>
  <c r="K12" i="8"/>
  <c r="L12" i="8"/>
  <c r="M12" i="8"/>
  <c r="N12" i="8"/>
  <c r="O12" i="8"/>
  <c r="O22" i="8" s="1"/>
  <c r="P6" i="8"/>
  <c r="P7" i="8"/>
  <c r="P8" i="8"/>
  <c r="P19" i="8"/>
  <c r="P17" i="5" l="1"/>
  <c r="L3" i="5"/>
  <c r="L22" i="5" s="1"/>
  <c r="O3" i="5"/>
  <c r="O22" i="5" s="1"/>
  <c r="L24" i="5"/>
  <c r="L24" i="8"/>
  <c r="O24" i="5"/>
  <c r="O24" i="8"/>
  <c r="M24" i="8"/>
  <c r="J24" i="8"/>
  <c r="N24" i="8"/>
  <c r="K24" i="8"/>
  <c r="P15" i="14"/>
  <c r="P12" i="8"/>
  <c r="L23" i="14"/>
  <c r="I28" i="14"/>
  <c r="P15" i="8"/>
  <c r="P3" i="5" l="1"/>
  <c r="P22" i="5"/>
  <c r="P22" i="8"/>
  <c r="O26" i="5"/>
  <c r="Q3" i="5"/>
  <c r="R19" i="5"/>
  <c r="O27" i="5" l="1"/>
  <c r="O28" i="5" s="1"/>
  <c r="O33" i="5"/>
  <c r="H5" i="8"/>
  <c r="H6" i="8"/>
  <c r="H7" i="8"/>
  <c r="H8" i="8"/>
  <c r="H17" i="8"/>
  <c r="H16" i="8" l="1"/>
  <c r="H15" i="8"/>
  <c r="H14" i="8"/>
  <c r="H19" i="8"/>
  <c r="D13" i="8"/>
  <c r="D22" i="8" s="1"/>
  <c r="B22" i="8" l="1"/>
  <c r="H22" i="8" s="1"/>
  <c r="H24" i="8" s="1"/>
  <c r="H13" i="8"/>
  <c r="H4" i="8"/>
  <c r="D12" i="8"/>
  <c r="P4" i="8" l="1"/>
  <c r="H7" i="14"/>
  <c r="Q16" i="8"/>
  <c r="I24" i="5" l="1"/>
  <c r="Q19" i="8"/>
  <c r="D7" i="14" l="1"/>
  <c r="E3" i="14" l="1"/>
  <c r="S4" i="14" s="1"/>
  <c r="E5" i="14"/>
  <c r="G5" i="14" s="1"/>
  <c r="E4" i="14"/>
  <c r="E6" i="14"/>
  <c r="G6" i="14" s="1"/>
  <c r="G3" i="14" l="1"/>
  <c r="T6" i="14"/>
  <c r="S6" i="14"/>
  <c r="T7" i="14"/>
  <c r="S7" i="14"/>
  <c r="T5" i="14"/>
  <c r="S5" i="14"/>
  <c r="T4" i="14"/>
  <c r="G6" i="5"/>
  <c r="K6" i="14"/>
  <c r="F6" i="5"/>
  <c r="K4" i="14"/>
  <c r="G4" i="14"/>
  <c r="G7" i="14" s="1"/>
  <c r="E6" i="5"/>
  <c r="K5" i="14"/>
  <c r="E12" i="14"/>
  <c r="E19" i="14" s="1"/>
  <c r="D6" i="5"/>
  <c r="K3" i="14"/>
  <c r="E13" i="14"/>
  <c r="E20" i="14" s="1"/>
  <c r="E11" i="14"/>
  <c r="E18" i="14" s="1"/>
  <c r="E10" i="14"/>
  <c r="E17" i="14" s="1"/>
  <c r="E7" i="14"/>
  <c r="L6" i="14" l="1"/>
  <c r="E14" i="14"/>
  <c r="R20" i="5"/>
  <c r="Q4" i="8" l="1"/>
  <c r="Q5" i="8" l="1"/>
  <c r="C47" i="16"/>
  <c r="C59" i="16" l="1"/>
  <c r="C31" i="16"/>
  <c r="C26" i="16"/>
  <c r="C20" i="16"/>
  <c r="C8" i="16"/>
  <c r="B2" i="16"/>
  <c r="C37" i="16" l="1"/>
  <c r="J24" i="5" l="1"/>
  <c r="C38" i="16"/>
  <c r="C42" i="16" l="1"/>
  <c r="C60" i="16" s="1"/>
  <c r="Q14" i="8"/>
  <c r="Q7" i="8"/>
  <c r="Q8" i="8"/>
  <c r="Q6" i="8" l="1"/>
  <c r="Q17" i="8"/>
  <c r="Q3" i="8"/>
  <c r="N24" i="5"/>
  <c r="N26" i="5" s="1"/>
  <c r="K24" i="5"/>
  <c r="M24" i="5"/>
  <c r="M26" i="5" s="1"/>
  <c r="N33" i="5" l="1"/>
  <c r="N27" i="5"/>
  <c r="N28" i="5" s="1"/>
  <c r="M33" i="5"/>
  <c r="M27" i="5"/>
  <c r="M28" i="5" s="1"/>
  <c r="P24" i="5"/>
  <c r="L26" i="5"/>
  <c r="Q22" i="8"/>
  <c r="Q15" i="8"/>
  <c r="L33" i="5" l="1"/>
  <c r="L27" i="5"/>
  <c r="L28" i="5" s="1"/>
  <c r="Q24" i="5"/>
  <c r="T23" i="8"/>
  <c r="K26" i="5"/>
  <c r="K33" i="5" l="1"/>
  <c r="K27" i="5"/>
  <c r="K28" i="5" s="1"/>
  <c r="R18" i="5"/>
  <c r="R21" i="5" s="1"/>
  <c r="J26" i="5"/>
  <c r="J33" i="5" s="1"/>
  <c r="Q22" i="5"/>
  <c r="J27" i="5" l="1"/>
  <c r="J28" i="5" s="1"/>
  <c r="L31" i="5"/>
  <c r="O31" i="5"/>
  <c r="M31" i="5"/>
  <c r="K31" i="5"/>
  <c r="I31" i="5"/>
  <c r="I26" i="5"/>
  <c r="I33" i="5" s="1"/>
  <c r="J31" i="5"/>
  <c r="P26" i="5"/>
  <c r="N31" i="5"/>
  <c r="I27" i="5" l="1"/>
  <c r="P27" i="5" s="1"/>
  <c r="P31" i="5"/>
  <c r="I28" i="5" l="1"/>
  <c r="P28" i="5" s="1"/>
</calcChain>
</file>

<file path=xl/sharedStrings.xml><?xml version="1.0" encoding="utf-8"?>
<sst xmlns="http://schemas.openxmlformats.org/spreadsheetml/2006/main" count="232" uniqueCount="172">
  <si>
    <t>Összesen</t>
  </si>
  <si>
    <t>Bátaszék</t>
  </si>
  <si>
    <t>Alsónyék</t>
  </si>
  <si>
    <t>Alsónána</t>
  </si>
  <si>
    <t>Bátaszék arányszám</t>
  </si>
  <si>
    <t>Alsónyék arányszám</t>
  </si>
  <si>
    <t>Alsónána arányszám</t>
  </si>
  <si>
    <t>Összesen:</t>
  </si>
  <si>
    <t>Szolgáltatások ellenértéke</t>
  </si>
  <si>
    <t>Közvetített szolgáltatások értéke</t>
  </si>
  <si>
    <t>Kiszámlázott általános forgalmi adó</t>
  </si>
  <si>
    <t>Bevétel mindösszesen:</t>
  </si>
  <si>
    <t>Kiadások megnevezése</t>
  </si>
  <si>
    <t>MOB</t>
  </si>
  <si>
    <t>ESZGY</t>
  </si>
  <si>
    <t>Készletértékesítés ellenértéke</t>
  </si>
  <si>
    <t>Közhatalmi bevételek</t>
  </si>
  <si>
    <t>Felújítások</t>
  </si>
  <si>
    <t>Járulékok</t>
  </si>
  <si>
    <t>Előző évi maradvány</t>
  </si>
  <si>
    <t>Beruházás, eszközbeszerzés</t>
  </si>
  <si>
    <t>ÁFA visszatérülés</t>
  </si>
  <si>
    <t>KÖH munkaszervezetre átvett önkormányzatoktól</t>
  </si>
  <si>
    <t>KÖH munkaszervezetre átvett hozzájárulás társulásoktól</t>
  </si>
  <si>
    <t>Kiadások mindösszesen:</t>
  </si>
  <si>
    <t>Béren kívüli juttatások</t>
  </si>
  <si>
    <t>Munkaadókat terhelő járulékok</t>
  </si>
  <si>
    <t>Személyi juttatások összesen:</t>
  </si>
  <si>
    <t>Személyi jellegű juttatás</t>
  </si>
  <si>
    <t>Dologi kiadás</t>
  </si>
  <si>
    <t>Felhalmozási kiadások</t>
  </si>
  <si>
    <t>Bátaszék Város Hivatala fentartási és egyéb dologi kiadásai</t>
  </si>
  <si>
    <t xml:space="preserve">Felosztható dologi kiadások </t>
  </si>
  <si>
    <t>Céltartalék maradványból</t>
  </si>
  <si>
    <t>KÖH alkalamazottainak illetménye, egyéb személyi jellegű kiadásai</t>
  </si>
  <si>
    <t>Sárpilis</t>
  </si>
  <si>
    <t>Sárpilis arányszám</t>
  </si>
  <si>
    <t xml:space="preserve">MOB </t>
  </si>
  <si>
    <t xml:space="preserve">ESZGY </t>
  </si>
  <si>
    <t>Munkábajárás</t>
  </si>
  <si>
    <t>Jubileumi jutalom</t>
  </si>
  <si>
    <t>Tartalékok</t>
  </si>
  <si>
    <t>Költségvetési szerv megnevezése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</si>
  <si>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</si>
  <si>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</si>
  <si>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</si>
  <si>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</si>
  <si>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</si>
  <si>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</si>
  <si>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</si>
  <si>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</si>
  <si>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</si>
  <si>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</si>
  <si>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Tulajdonosi bevételek</t>
  </si>
  <si>
    <t>Ellátási díjak</t>
  </si>
  <si>
    <t>Általános forgalmi adó visszatérülése</t>
  </si>
  <si>
    <t>Kamatbevételek</t>
  </si>
  <si>
    <t>Egyéb pénzügyi műveletek bevételei</t>
  </si>
  <si>
    <t>Biztosító által fizetett kártérítés</t>
  </si>
  <si>
    <t>Egyéb működési bevételek</t>
  </si>
  <si>
    <t>2.</t>
  </si>
  <si>
    <t>Működési célú támogatások államháztartáson belülről (2.1.+…+2.3.)</t>
  </si>
  <si>
    <t>Elvonások és befizetések bevételei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</si>
  <si>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</si>
  <si>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</si>
  <si>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</si>
  <si>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3.</t>
  </si>
  <si>
    <t>4.</t>
  </si>
  <si>
    <t>Felhalmozási célú támogatások államháztartáson belülről (4.1.+…+4.3.)</t>
  </si>
  <si>
    <t>Felhalmozási célú önkormányzati támogatások</t>
  </si>
  <si>
    <t>Egyéb felhalmozási célú támogatások bevételei államháztartáson belülről</t>
  </si>
  <si>
    <t xml:space="preserve">  4.3.-ból EU-s támogatás</t>
  </si>
  <si>
    <t>5.</t>
  </si>
  <si>
    <t>Felhalmozási bevételek (5.1.+…+5.3.)</t>
  </si>
  <si>
    <t>Immateriális javak értékesítése</t>
  </si>
  <si>
    <t>Ingatlanok értékesítése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</si>
  <si>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</si>
  <si>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</si>
  <si>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</si>
  <si>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</si>
  <si>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</si>
  <si>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</si>
  <si>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</si>
  <si>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</si>
  <si>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</si>
  <si>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Költségvetési maradvány igénybevétele</t>
  </si>
  <si>
    <t>Vállalkozási maradvány igénybevétele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</si>
  <si>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</si>
  <si>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</si>
  <si>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</si>
  <si>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</si>
  <si>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</si>
  <si>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</si>
  <si>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</si>
  <si>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</si>
  <si>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</si>
  <si>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</si>
  <si>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</si>
  <si>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</si>
  <si>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</si>
  <si>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</si>
  <si>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</si>
  <si>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</si>
  <si>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</si>
  <si>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</si>
  <si>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02</t>
  </si>
  <si>
    <t>01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</si>
  <si>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</si>
  <si>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</si>
  <si>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</si>
  <si>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</si>
  <si>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</si>
  <si>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</si>
  <si>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</si>
  <si>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</si>
  <si>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</si>
  <si>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</si>
  <si>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</si>
  <si>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2.1.</t>
  </si>
  <si>
    <t>2.2.</t>
  </si>
  <si>
    <t>2.3.</t>
  </si>
  <si>
    <t>2.4.</t>
  </si>
  <si>
    <t>4.1.</t>
  </si>
  <si>
    <t>4.2.</t>
  </si>
  <si>
    <t>4.3.</t>
  </si>
  <si>
    <t>4.4.</t>
  </si>
  <si>
    <t>5.1.</t>
  </si>
  <si>
    <t>5.2.</t>
  </si>
  <si>
    <t>5.3.</t>
  </si>
  <si>
    <t>9.1.</t>
  </si>
  <si>
    <t>9.2.</t>
  </si>
  <si>
    <t>9.3.</t>
  </si>
  <si>
    <t>Pályázatból visszatérülő támogatás</t>
  </si>
  <si>
    <t>Végkielégítés</t>
  </si>
  <si>
    <t>Társulások</t>
  </si>
  <si>
    <t>Társulások nélküli százalék</t>
  </si>
  <si>
    <t>TOP Szociális I-II. ütem</t>
  </si>
  <si>
    <t>TOP szoc. I-II. ütem</t>
  </si>
  <si>
    <t>Bevétel arányszámok</t>
  </si>
  <si>
    <t>Lakosságszám 2024. január 01.</t>
  </si>
  <si>
    <t>Várdomb</t>
  </si>
  <si>
    <t>Bankszámla ktgtérités</t>
  </si>
  <si>
    <t>Bevételi arányszámok</t>
  </si>
  <si>
    <t>Várdomb arányszám</t>
  </si>
  <si>
    <t>2025. évi átvállalt hozzájárulás</t>
  </si>
  <si>
    <t>Állami támogatás  2025</t>
  </si>
  <si>
    <t>Dologi kiadások felosztása</t>
  </si>
  <si>
    <t>Társulások:</t>
  </si>
  <si>
    <t>Települések között felosztandó</t>
  </si>
  <si>
    <t>Bevételi rányszámok Várdombbal</t>
  </si>
  <si>
    <t>Eszgy</t>
  </si>
  <si>
    <t>Kerekített %-kal</t>
  </si>
  <si>
    <t>TOP egyéb személyi juttatás</t>
  </si>
  <si>
    <t>Egyéb bér(magáncélú telefon,megbízási díj saját, szoc. Jut., szemüveg ktgtérítés, külső, egyéb személyi juttatás stb.)</t>
  </si>
  <si>
    <t>IOGY választás</t>
  </si>
  <si>
    <t>Járulék TOP,IOGY</t>
  </si>
  <si>
    <t>Pénzmaradvány</t>
  </si>
  <si>
    <t>Önkormányzati hozzájárulások</t>
  </si>
  <si>
    <t>TOP Belterületi utak</t>
  </si>
  <si>
    <t>TOP Konyha</t>
  </si>
  <si>
    <t>TOP Iskolaenergetika</t>
  </si>
  <si>
    <t>IOGY Választás</t>
  </si>
  <si>
    <t>Elismert létszám</t>
  </si>
  <si>
    <t xml:space="preserve">irányító szervi támogatás összesen: </t>
  </si>
  <si>
    <t xml:space="preserve">működési célú átvett pénzeszköz államháztartáson belülről: </t>
  </si>
  <si>
    <t>Bevételek megnevezése</t>
  </si>
  <si>
    <t>Működési bevételek</t>
  </si>
  <si>
    <t>Bevételek kiadások eltérése</t>
  </si>
  <si>
    <t xml:space="preserve">Tervezett maradvány összege: </t>
  </si>
  <si>
    <t>Települések hozzájárulási aránya (normatív támogatással együtt) a fenntartáshoz:</t>
  </si>
  <si>
    <t>A KÖH munkaszervezetre tagoktól átvett pénzeszközök:</t>
  </si>
  <si>
    <t>Választás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</si>
</sst>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%"/>
    <numFmt numFmtId="165" formatCode="0.00000%"/>
    <numFmt numFmtId="166" formatCode="#,###"/>
  </numFmts>
  <fonts count="2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45">
    <xf numFmtId="0" fontId="0" fillId="0" borderId="0" xfId="0"/>
    <xf numFmtId="3" fontId="2" fillId="4" borderId="1" xfId="0" applyNumberFormat="1" applyFont="1" applyFill="1" applyBorder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 indent="1"/>
    </xf>
    <xf numFmtId="49" fontId="12" fillId="0" borderId="17" xfId="0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 indent="1"/>
    </xf>
    <xf numFmtId="49" fontId="12" fillId="0" borderId="18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 indent="1"/>
    </xf>
    <xf numFmtId="0" fontId="13" fillId="0" borderId="20" xfId="1" applyFont="1" applyBorder="1" applyAlignment="1">
      <alignment horizontal="left" vertical="center" wrapText="1" indent="1"/>
    </xf>
    <xf numFmtId="0" fontId="13" fillId="0" borderId="23" xfId="1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center" wrapText="1" indent="1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1"/>
    </xf>
    <xf numFmtId="0" fontId="12" fillId="0" borderId="1" xfId="1" applyFont="1" applyBorder="1" applyAlignment="1">
      <alignment horizontal="left" vertical="center" wrapText="1" indent="1"/>
    </xf>
    <xf numFmtId="0" fontId="12" fillId="0" borderId="26" xfId="1" applyFont="1" applyBorder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0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/>
    </xf>
    <xf numFmtId="0" fontId="16" fillId="0" borderId="29" xfId="0" applyFont="1" applyBorder="1" applyAlignment="1">
      <alignment vertical="center" wrapText="1"/>
    </xf>
    <xf numFmtId="166" fontId="4" fillId="0" borderId="0" xfId="0" applyNumberFormat="1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1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/>
    <xf numFmtId="2" fontId="19" fillId="0" borderId="0" xfId="0" applyNumberFormat="1" applyFont="1"/>
    <xf numFmtId="0" fontId="19" fillId="0" borderId="0" xfId="0" applyFont="1" applyAlignment="1">
      <alignment wrapText="1"/>
    </xf>
    <xf numFmtId="10" fontId="19" fillId="0" borderId="0" xfId="0" applyNumberFormat="1" applyFont="1"/>
    <xf numFmtId="10" fontId="19" fillId="0" borderId="0" xfId="2" applyNumberFormat="1" applyFont="1"/>
    <xf numFmtId="3" fontId="19" fillId="0" borderId="0" xfId="0" applyNumberFormat="1" applyFont="1"/>
    <xf numFmtId="0" fontId="19" fillId="7" borderId="0" xfId="0" applyFont="1" applyFill="1"/>
    <xf numFmtId="10" fontId="19" fillId="7" borderId="0" xfId="0" applyNumberFormat="1" applyFont="1" applyFill="1"/>
    <xf numFmtId="166" fontId="0" fillId="0" borderId="0" xfId="0" applyNumberFormat="1"/>
    <xf numFmtId="166" fontId="12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0" applyFont="1" applyFill="1" applyAlignment="1" applyProtection="1">
      <alignment horizontal="right" vertical="top"/>
      <protection locked="0"/>
    </xf>
    <xf numFmtId="49" fontId="7" fillId="2" borderId="4" xfId="0" applyNumberFormat="1" applyFont="1" applyFill="1" applyBorder="1" applyAlignment="1" applyProtection="1">
      <alignment horizontal="right" vertical="center"/>
      <protection locked="0"/>
    </xf>
    <xf numFmtId="49" fontId="7" fillId="2" borderId="7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2" fontId="7" fillId="2" borderId="16" xfId="0" applyNumberFormat="1" applyFont="1" applyFill="1" applyBorder="1" applyAlignment="1">
      <alignment horizontal="center" vertical="center" wrapText="1"/>
    </xf>
    <xf numFmtId="166" fontId="11" fillId="2" borderId="13" xfId="0" applyNumberFormat="1" applyFont="1" applyFill="1" applyBorder="1" applyAlignment="1">
      <alignment horizontal="right" vertical="center" wrapText="1" indent="1"/>
    </xf>
    <xf numFmtId="166" fontId="13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6" fontId="11" fillId="2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12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12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2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11" fillId="2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11" fillId="2" borderId="28" xfId="0" applyNumberFormat="1" applyFont="1" applyFill="1" applyBorder="1" applyAlignment="1">
      <alignment horizontal="right" vertical="center" wrapText="1" indent="1"/>
    </xf>
    <xf numFmtId="166" fontId="12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0" fillId="2" borderId="28" xfId="0" applyNumberFormat="1" applyFont="1" applyFill="1" applyBorder="1" applyAlignment="1">
      <alignment horizontal="right" vertical="center" wrapText="1" indent="1"/>
    </xf>
    <xf numFmtId="166" fontId="10" fillId="2" borderId="13" xfId="0" applyNumberFormat="1" applyFont="1" applyFill="1" applyBorder="1" applyAlignment="1">
      <alignment horizontal="right" vertical="center" wrapText="1" indent="1"/>
    </xf>
    <xf numFmtId="166" fontId="15" fillId="2" borderId="0" xfId="0" applyNumberFormat="1" applyFont="1" applyFill="1" applyAlignment="1">
      <alignment vertical="center" wrapText="1"/>
    </xf>
    <xf numFmtId="4" fontId="16" fillId="2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16" fillId="2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0" xfId="0" applyFill="1"/>
    <xf numFmtId="3" fontId="21" fillId="2" borderId="1" xfId="0" applyNumberFormat="1" applyFont="1" applyFill="1" applyBorder="1"/>
    <xf numFmtId="3" fontId="22" fillId="2" borderId="1" xfId="0" applyNumberFormat="1" applyFont="1" applyFill="1" applyBorder="1"/>
    <xf numFmtId="3" fontId="23" fillId="2" borderId="1" xfId="0" applyNumberFormat="1" applyFont="1" applyFill="1" applyBorder="1"/>
    <xf numFmtId="3" fontId="21" fillId="2" borderId="33" xfId="0" applyNumberFormat="1" applyFont="1" applyFill="1" applyBorder="1"/>
    <xf numFmtId="3" fontId="22" fillId="2" borderId="33" xfId="0" applyNumberFormat="1" applyFont="1" applyFill="1" applyBorder="1"/>
    <xf numFmtId="0" fontId="21" fillId="2" borderId="34" xfId="0" applyFont="1" applyFill="1" applyBorder="1" applyAlignment="1">
      <alignment wrapText="1"/>
    </xf>
    <xf numFmtId="3" fontId="21" fillId="2" borderId="18" xfId="0" applyNumberFormat="1" applyFont="1" applyFill="1" applyBorder="1"/>
    <xf numFmtId="3" fontId="21" fillId="2" borderId="19" xfId="0" applyNumberFormat="1" applyFont="1" applyFill="1" applyBorder="1"/>
    <xf numFmtId="3" fontId="22" fillId="2" borderId="19" xfId="0" applyNumberFormat="1" applyFont="1" applyFill="1" applyBorder="1"/>
    <xf numFmtId="3" fontId="22" fillId="2" borderId="34" xfId="0" applyNumberFormat="1" applyFont="1" applyFill="1" applyBorder="1"/>
    <xf numFmtId="0" fontId="21" fillId="2" borderId="35" xfId="0" applyFont="1" applyFill="1" applyBorder="1" applyAlignment="1">
      <alignment wrapText="1"/>
    </xf>
    <xf numFmtId="3" fontId="21" fillId="2" borderId="36" xfId="0" applyNumberFormat="1" applyFont="1" applyFill="1" applyBorder="1"/>
    <xf numFmtId="3" fontId="21" fillId="2" borderId="37" xfId="0" applyNumberFormat="1" applyFont="1" applyFill="1" applyBorder="1"/>
    <xf numFmtId="3" fontId="21" fillId="2" borderId="22" xfId="0" applyNumberFormat="1" applyFont="1" applyFill="1" applyBorder="1"/>
    <xf numFmtId="3" fontId="22" fillId="2" borderId="35" xfId="0" applyNumberFormat="1" applyFont="1" applyFill="1" applyBorder="1"/>
    <xf numFmtId="3" fontId="21" fillId="2" borderId="38" xfId="0" applyNumberFormat="1" applyFont="1" applyFill="1" applyBorder="1"/>
    <xf numFmtId="3" fontId="22" fillId="2" borderId="37" xfId="0" applyNumberFormat="1" applyFont="1" applyFill="1" applyBorder="1"/>
    <xf numFmtId="3" fontId="22" fillId="2" borderId="23" xfId="0" applyNumberFormat="1" applyFont="1" applyFill="1" applyBorder="1"/>
    <xf numFmtId="3" fontId="22" fillId="2" borderId="25" xfId="0" applyNumberFormat="1" applyFont="1" applyFill="1" applyBorder="1"/>
    <xf numFmtId="3" fontId="22" fillId="2" borderId="39" xfId="0" applyNumberFormat="1" applyFont="1" applyFill="1" applyBorder="1"/>
    <xf numFmtId="3" fontId="22" fillId="2" borderId="40" xfId="0" applyNumberFormat="1" applyFont="1" applyFill="1" applyBorder="1"/>
    <xf numFmtId="0" fontId="22" fillId="2" borderId="32" xfId="0" applyFont="1" applyFill="1" applyBorder="1" applyAlignment="1">
      <alignment wrapText="1"/>
    </xf>
    <xf numFmtId="3" fontId="22" fillId="2" borderId="11" xfId="0" applyNumberFormat="1" applyFont="1" applyFill="1" applyBorder="1"/>
    <xf numFmtId="3" fontId="22" fillId="2" borderId="12" xfId="0" applyNumberFormat="1" applyFont="1" applyFill="1" applyBorder="1"/>
    <xf numFmtId="3" fontId="22" fillId="2" borderId="13" xfId="0" applyNumberFormat="1" applyFont="1" applyFill="1" applyBorder="1"/>
    <xf numFmtId="3" fontId="22" fillId="2" borderId="32" xfId="0" applyNumberFormat="1" applyFont="1" applyFill="1" applyBorder="1"/>
    <xf numFmtId="3" fontId="22" fillId="2" borderId="29" xfId="0" applyNumberFormat="1" applyFont="1" applyFill="1" applyBorder="1"/>
    <xf numFmtId="0" fontId="21" fillId="2" borderId="39" xfId="0" applyFont="1" applyFill="1" applyBorder="1" applyAlignment="1">
      <alignment wrapText="1"/>
    </xf>
    <xf numFmtId="3" fontId="21" fillId="2" borderId="24" xfId="0" applyNumberFormat="1" applyFont="1" applyFill="1" applyBorder="1"/>
    <xf numFmtId="3" fontId="21" fillId="2" borderId="23" xfId="0" applyNumberFormat="1" applyFont="1" applyFill="1" applyBorder="1"/>
    <xf numFmtId="3" fontId="21" fillId="2" borderId="25" xfId="0" applyNumberFormat="1" applyFont="1" applyFill="1" applyBorder="1"/>
    <xf numFmtId="0" fontId="21" fillId="2" borderId="34" xfId="1" applyFont="1" applyFill="1" applyBorder="1" applyAlignment="1">
      <alignment vertical="center" wrapText="1"/>
    </xf>
    <xf numFmtId="0" fontId="24" fillId="0" borderId="1" xfId="0" applyFont="1" applyBorder="1"/>
    <xf numFmtId="3" fontId="23" fillId="0" borderId="1" xfId="0" applyNumberFormat="1" applyFont="1" applyBorder="1"/>
    <xf numFmtId="0" fontId="21" fillId="0" borderId="1" xfId="0" applyFont="1" applyBorder="1"/>
    <xf numFmtId="3" fontId="22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24" fillId="0" borderId="0" xfId="0" applyFont="1"/>
    <xf numFmtId="0" fontId="23" fillId="0" borderId="0" xfId="0" applyFont="1"/>
    <xf numFmtId="0" fontId="24" fillId="2" borderId="0" xfId="0" applyFont="1" applyFill="1"/>
    <xf numFmtId="0" fontId="21" fillId="2" borderId="0" xfId="0" applyFont="1" applyFill="1" applyAlignment="1">
      <alignment wrapText="1"/>
    </xf>
    <xf numFmtId="10" fontId="22" fillId="2" borderId="1" xfId="0" applyNumberFormat="1" applyFont="1" applyFill="1" applyBorder="1"/>
    <xf numFmtId="3" fontId="25" fillId="2" borderId="0" xfId="0" applyNumberFormat="1" applyFont="1" applyFill="1"/>
    <xf numFmtId="164" fontId="25" fillId="2" borderId="0" xfId="0" applyNumberFormat="1" applyFont="1" applyFill="1"/>
    <xf numFmtId="10" fontId="25" fillId="2" borderId="0" xfId="0" applyNumberFormat="1" applyFont="1" applyFill="1"/>
    <xf numFmtId="0" fontId="25" fillId="2" borderId="0" xfId="0" applyFont="1" applyFill="1"/>
    <xf numFmtId="0" fontId="25" fillId="0" borderId="0" xfId="0" applyFont="1"/>
    <xf numFmtId="4" fontId="22" fillId="2" borderId="1" xfId="0" applyNumberFormat="1" applyFont="1" applyFill="1" applyBorder="1"/>
    <xf numFmtId="0" fontId="22" fillId="2" borderId="1" xfId="0" applyFont="1" applyFill="1" applyBorder="1"/>
    <xf numFmtId="0" fontId="22" fillId="2" borderId="0" xfId="0" applyFont="1" applyFill="1"/>
    <xf numFmtId="0" fontId="22" fillId="0" borderId="0" xfId="0" applyFont="1"/>
    <xf numFmtId="3" fontId="21" fillId="2" borderId="41" xfId="0" applyNumberFormat="1" applyFont="1" applyFill="1" applyBorder="1"/>
    <xf numFmtId="3" fontId="23" fillId="2" borderId="19" xfId="0" applyNumberFormat="1" applyFont="1" applyFill="1" applyBorder="1"/>
    <xf numFmtId="0" fontId="23" fillId="2" borderId="0" xfId="0" applyFont="1" applyFill="1"/>
    <xf numFmtId="3" fontId="23" fillId="2" borderId="18" xfId="0" applyNumberFormat="1" applyFont="1" applyFill="1" applyBorder="1"/>
    <xf numFmtId="3" fontId="23" fillId="2" borderId="0" xfId="0" applyNumberFormat="1" applyFont="1" applyFill="1" applyAlignment="1">
      <alignment wrapText="1"/>
    </xf>
    <xf numFmtId="3" fontId="23" fillId="2" borderId="33" xfId="0" applyNumberFormat="1" applyFont="1" applyFill="1" applyBorder="1"/>
    <xf numFmtId="3" fontId="23" fillId="2" borderId="0" xfId="0" applyNumberFormat="1" applyFont="1" applyFill="1"/>
    <xf numFmtId="0" fontId="21" fillId="2" borderId="1" xfId="0" applyFont="1" applyFill="1" applyBorder="1"/>
    <xf numFmtId="0" fontId="21" fillId="2" borderId="0" xfId="0" applyFont="1" applyFill="1"/>
    <xf numFmtId="3" fontId="21" fillId="2" borderId="0" xfId="0" applyNumberFormat="1" applyFont="1" applyFill="1"/>
    <xf numFmtId="3" fontId="22" fillId="2" borderId="0" xfId="0" applyNumberFormat="1" applyFont="1" applyFill="1"/>
    <xf numFmtId="0" fontId="22" fillId="3" borderId="0" xfId="0" applyFont="1" applyFill="1"/>
    <xf numFmtId="3" fontId="26" fillId="2" borderId="0" xfId="0" applyNumberFormat="1" applyFont="1" applyFill="1"/>
    <xf numFmtId="3" fontId="23" fillId="0" borderId="0" xfId="0" applyNumberFormat="1" applyFont="1"/>
    <xf numFmtId="0" fontId="21" fillId="0" borderId="1" xfId="1" applyFont="1" applyBorder="1" applyAlignment="1">
      <alignment vertical="center" wrapText="1"/>
    </xf>
    <xf numFmtId="0" fontId="21" fillId="0" borderId="1" xfId="0" applyFont="1" applyBorder="1" applyAlignment="1">
      <alignment horizontal="left" wrapText="1"/>
    </xf>
    <xf numFmtId="0" fontId="25" fillId="9" borderId="37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justify" vertical="center"/>
    </xf>
    <xf numFmtId="0" fontId="22" fillId="9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43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  <xf numFmtId="0" fontId="22" fillId="9" borderId="44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left"/>
    </xf>
    <xf numFmtId="0" fontId="25" fillId="2" borderId="23" xfId="0" applyFont="1" applyFill="1" applyBorder="1"/>
    <xf numFmtId="3" fontId="22" fillId="2" borderId="45" xfId="0" applyNumberFormat="1" applyFont="1" applyFill="1" applyBorder="1"/>
    <xf numFmtId="4" fontId="22" fillId="2" borderId="24" xfId="0" applyNumberFormat="1" applyFont="1" applyFill="1" applyBorder="1"/>
    <xf numFmtId="4" fontId="22" fillId="2" borderId="23" xfId="0" applyNumberFormat="1" applyFont="1" applyFill="1" applyBorder="1"/>
    <xf numFmtId="4" fontId="22" fillId="2" borderId="25" xfId="0" applyNumberFormat="1" applyFont="1" applyFill="1" applyBorder="1"/>
    <xf numFmtId="0" fontId="25" fillId="0" borderId="11" xfId="0" applyFont="1" applyBorder="1" applyAlignment="1">
      <alignment horizontal="left"/>
    </xf>
    <xf numFmtId="0" fontId="25" fillId="2" borderId="12" xfId="0" applyFont="1" applyFill="1" applyBorder="1"/>
    <xf numFmtId="3" fontId="22" fillId="2" borderId="46" xfId="0" applyNumberFormat="1" applyFont="1" applyFill="1" applyBorder="1"/>
    <xf numFmtId="10" fontId="22" fillId="2" borderId="11" xfId="0" applyNumberFormat="1" applyFont="1" applyFill="1" applyBorder="1"/>
    <xf numFmtId="10" fontId="22" fillId="2" borderId="12" xfId="0" applyNumberFormat="1" applyFont="1" applyFill="1" applyBorder="1"/>
    <xf numFmtId="10" fontId="22" fillId="2" borderId="13" xfId="0" applyNumberFormat="1" applyFont="1" applyFill="1" applyBorder="1"/>
    <xf numFmtId="0" fontId="25" fillId="0" borderId="37" xfId="0" applyFont="1" applyBorder="1" applyAlignment="1">
      <alignment horizontal="left"/>
    </xf>
    <xf numFmtId="165" fontId="22" fillId="2" borderId="37" xfId="0" applyNumberFormat="1" applyFont="1" applyFill="1" applyBorder="1"/>
    <xf numFmtId="165" fontId="22" fillId="2" borderId="42" xfId="0" applyNumberFormat="1" applyFont="1" applyFill="1" applyBorder="1"/>
    <xf numFmtId="10" fontId="22" fillId="2" borderId="36" xfId="0" applyNumberFormat="1" applyFont="1" applyFill="1" applyBorder="1"/>
    <xf numFmtId="10" fontId="22" fillId="2" borderId="37" xfId="0" applyNumberFormat="1" applyFont="1" applyFill="1" applyBorder="1"/>
    <xf numFmtId="10" fontId="22" fillId="2" borderId="22" xfId="0" applyNumberFormat="1" applyFont="1" applyFill="1" applyBorder="1"/>
    <xf numFmtId="3" fontId="22" fillId="2" borderId="36" xfId="0" applyNumberFormat="1" applyFont="1" applyFill="1" applyBorder="1"/>
    <xf numFmtId="3" fontId="22" fillId="2" borderId="22" xfId="0" applyNumberFormat="1" applyFont="1" applyFill="1" applyBorder="1"/>
    <xf numFmtId="0" fontId="21" fillId="0" borderId="23" xfId="1" applyFont="1" applyBorder="1" applyAlignment="1">
      <alignment vertical="center" wrapText="1"/>
    </xf>
    <xf numFmtId="3" fontId="21" fillId="2" borderId="45" xfId="0" applyNumberFormat="1" applyFont="1" applyFill="1" applyBorder="1"/>
    <xf numFmtId="3" fontId="23" fillId="2" borderId="23" xfId="0" applyNumberFormat="1" applyFont="1" applyFill="1" applyBorder="1"/>
    <xf numFmtId="3" fontId="23" fillId="2" borderId="25" xfId="0" applyNumberFormat="1" applyFont="1" applyFill="1" applyBorder="1"/>
    <xf numFmtId="0" fontId="22" fillId="0" borderId="11" xfId="0" applyFont="1" applyBorder="1" applyAlignment="1">
      <alignment horizontal="left" wrapText="1"/>
    </xf>
    <xf numFmtId="0" fontId="22" fillId="2" borderId="12" xfId="0" applyFont="1" applyFill="1" applyBorder="1"/>
    <xf numFmtId="0" fontId="26" fillId="2" borderId="0" xfId="0" applyFont="1" applyFill="1"/>
    <xf numFmtId="0" fontId="26" fillId="0" borderId="0" xfId="0" applyFont="1"/>
    <xf numFmtId="0" fontId="21" fillId="0" borderId="37" xfId="1" applyFont="1" applyBorder="1" applyAlignment="1">
      <alignment vertical="center" wrapText="1"/>
    </xf>
    <xf numFmtId="3" fontId="21" fillId="2" borderId="42" xfId="0" applyNumberFormat="1" applyFont="1" applyFill="1" applyBorder="1"/>
    <xf numFmtId="3" fontId="23" fillId="2" borderId="37" xfId="0" applyNumberFormat="1" applyFont="1" applyFill="1" applyBorder="1"/>
    <xf numFmtId="3" fontId="23" fillId="2" borderId="22" xfId="0" applyNumberFormat="1" applyFont="1" applyFill="1" applyBorder="1"/>
    <xf numFmtId="0" fontId="21" fillId="0" borderId="23" xfId="0" applyFont="1" applyBorder="1" applyAlignment="1">
      <alignment horizontal="left" wrapText="1"/>
    </xf>
    <xf numFmtId="3" fontId="23" fillId="2" borderId="24" xfId="0" applyNumberFormat="1" applyFont="1" applyFill="1" applyBorder="1"/>
    <xf numFmtId="0" fontId="22" fillId="0" borderId="11" xfId="1" applyFont="1" applyBorder="1" applyAlignment="1">
      <alignment vertical="center" wrapText="1"/>
    </xf>
    <xf numFmtId="3" fontId="26" fillId="2" borderId="12" xfId="0" applyNumberFormat="1" applyFont="1" applyFill="1" applyBorder="1"/>
    <xf numFmtId="3" fontId="26" fillId="2" borderId="13" xfId="0" applyNumberFormat="1" applyFont="1" applyFill="1" applyBorder="1"/>
    <xf numFmtId="0" fontId="22" fillId="0" borderId="37" xfId="0" applyFont="1" applyBorder="1" applyAlignment="1">
      <alignment horizontal="left" wrapText="1"/>
    </xf>
    <xf numFmtId="0" fontId="21" fillId="2" borderId="37" xfId="0" applyFont="1" applyFill="1" applyBorder="1"/>
    <xf numFmtId="3" fontId="23" fillId="2" borderId="42" xfId="0" applyNumberFormat="1" applyFont="1" applyFill="1" applyBorder="1"/>
    <xf numFmtId="3" fontId="22" fillId="8" borderId="11" xfId="0" applyNumberFormat="1" applyFont="1" applyFill="1" applyBorder="1"/>
    <xf numFmtId="3" fontId="22" fillId="8" borderId="12" xfId="0" applyNumberFormat="1" applyFont="1" applyFill="1" applyBorder="1"/>
    <xf numFmtId="3" fontId="22" fillId="8" borderId="13" xfId="0" applyNumberFormat="1" applyFont="1" applyFill="1" applyBorder="1"/>
    <xf numFmtId="3" fontId="22" fillId="8" borderId="32" xfId="0" applyNumberFormat="1" applyFont="1" applyFill="1" applyBorder="1"/>
    <xf numFmtId="3" fontId="21" fillId="2" borderId="40" xfId="0" applyNumberFormat="1" applyFont="1" applyFill="1" applyBorder="1"/>
    <xf numFmtId="0" fontId="21" fillId="2" borderId="35" xfId="1" applyFont="1" applyFill="1" applyBorder="1" applyAlignment="1">
      <alignment vertical="center" wrapText="1"/>
    </xf>
    <xf numFmtId="0" fontId="22" fillId="8" borderId="32" xfId="0" applyFont="1" applyFill="1" applyBorder="1" applyAlignment="1">
      <alignment wrapText="1"/>
    </xf>
    <xf numFmtId="3" fontId="22" fillId="8" borderId="29" xfId="0" applyNumberFormat="1" applyFont="1" applyFill="1" applyBorder="1"/>
    <xf numFmtId="0" fontId="24" fillId="0" borderId="0" xfId="0" applyFont="1" applyAlignment="1">
      <alignment wrapText="1"/>
    </xf>
    <xf numFmtId="0" fontId="24" fillId="0" borderId="47" xfId="0" applyFont="1" applyBorder="1"/>
    <xf numFmtId="0" fontId="23" fillId="0" borderId="20" xfId="0" applyFont="1" applyBorder="1"/>
    <xf numFmtId="0" fontId="23" fillId="0" borderId="48" xfId="0" applyFont="1" applyBorder="1"/>
    <xf numFmtId="1" fontId="23" fillId="0" borderId="0" xfId="0" applyNumberFormat="1" applyFont="1"/>
    <xf numFmtId="0" fontId="23" fillId="0" borderId="47" xfId="0" applyFont="1" applyBorder="1"/>
    <xf numFmtId="0" fontId="24" fillId="2" borderId="33" xfId="0" applyFont="1" applyFill="1" applyBorder="1"/>
    <xf numFmtId="0" fontId="24" fillId="2" borderId="1" xfId="0" applyFont="1" applyFill="1" applyBorder="1"/>
    <xf numFmtId="4" fontId="24" fillId="2" borderId="1" xfId="0" applyNumberFormat="1" applyFont="1" applyFill="1" applyBorder="1"/>
    <xf numFmtId="0" fontId="25" fillId="5" borderId="32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1" fontId="22" fillId="5" borderId="32" xfId="0" applyNumberFormat="1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4" fontId="22" fillId="2" borderId="1" xfId="0" applyNumberFormat="1" applyFont="1" applyFill="1" applyBorder="1" applyAlignment="1">
      <alignment wrapText="1"/>
    </xf>
    <xf numFmtId="0" fontId="24" fillId="6" borderId="1" xfId="0" applyFont="1" applyFill="1" applyBorder="1" applyAlignment="1">
      <alignment wrapText="1"/>
    </xf>
    <xf numFmtId="4" fontId="21" fillId="2" borderId="1" xfId="0" applyNumberFormat="1" applyFont="1" applyFill="1" applyBorder="1"/>
    <xf numFmtId="0" fontId="22" fillId="0" borderId="1" xfId="0" applyFont="1" applyBorder="1"/>
    <xf numFmtId="0" fontId="22" fillId="6" borderId="1" xfId="0" applyFont="1" applyFill="1" applyBorder="1"/>
    <xf numFmtId="0" fontId="23" fillId="2" borderId="1" xfId="0" applyFont="1" applyFill="1" applyBorder="1"/>
    <xf numFmtId="4" fontId="23" fillId="2" borderId="1" xfId="0" applyNumberFormat="1" applyFont="1" applyFill="1" applyBorder="1"/>
    <xf numFmtId="0" fontId="23" fillId="0" borderId="1" xfId="0" applyFont="1" applyBorder="1"/>
    <xf numFmtId="0" fontId="26" fillId="2" borderId="1" xfId="0" applyFont="1" applyFill="1" applyBorder="1"/>
    <xf numFmtId="4" fontId="26" fillId="2" borderId="1" xfId="0" applyNumberFormat="1" applyFont="1" applyFill="1" applyBorder="1"/>
    <xf numFmtId="0" fontId="26" fillId="5" borderId="1" xfId="0" applyFont="1" applyFill="1" applyBorder="1"/>
    <xf numFmtId="0" fontId="21" fillId="0" borderId="23" xfId="0" applyFont="1" applyBorder="1" applyAlignment="1">
      <alignment wrapText="1"/>
    </xf>
    <xf numFmtId="0" fontId="21" fillId="2" borderId="23" xfId="0" applyFont="1" applyFill="1" applyBorder="1"/>
    <xf numFmtId="3" fontId="23" fillId="0" borderId="23" xfId="0" applyNumberFormat="1" applyFont="1" applyBorder="1"/>
    <xf numFmtId="0" fontId="24" fillId="0" borderId="1" xfId="0" applyFont="1" applyBorder="1" applyAlignment="1">
      <alignment wrapText="1"/>
    </xf>
    <xf numFmtId="1" fontId="23" fillId="0" borderId="1" xfId="0" applyNumberFormat="1" applyFont="1" applyBorder="1"/>
    <xf numFmtId="3" fontId="23" fillId="7" borderId="1" xfId="0" applyNumberFormat="1" applyFont="1" applyFill="1" applyBorder="1"/>
    <xf numFmtId="0" fontId="22" fillId="0" borderId="0" xfId="0" applyFont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22" fillId="8" borderId="28" xfId="0" applyFont="1" applyFill="1" applyBorder="1" applyAlignment="1">
      <alignment horizontal="center"/>
    </xf>
    <xf numFmtId="0" fontId="22" fillId="8" borderId="29" xfId="0" applyFont="1" applyFill="1" applyBorder="1" applyAlignment="1">
      <alignment horizontal="center"/>
    </xf>
    <xf numFmtId="3" fontId="0" fillId="0" borderId="0" xfId="0" applyNumberFormat="1"/>
    <xf numFmtId="4" fontId="22" fillId="2" borderId="49" xfId="0" applyNumberFormat="1" applyFont="1" applyFill="1" applyBorder="1"/>
    <xf numFmtId="4" fontId="22" fillId="2" borderId="40" xfId="0" applyNumberFormat="1" applyFont="1" applyFill="1" applyBorder="1"/>
  </cellXfs>
  <cellStyles count="3">
    <cellStyle name="Normál" xfId="0" builtinId="0"/>
    <cellStyle name="Normál_KVRENMUNKA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&#246;lts&#233;gvet&#233;s/ktgv_2021/B&#225;tasz&#233;k%20V&#225;ros%20&#214;nkorm&#225;nyzata/KVIREND_2021_B&#225;tasz&#23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2.sz.mell"/>
      <sheetName val="KV_9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KV_8.sz.tájékoztató_t"/>
      <sheetName val="KV_9.sz.tájékoztató t"/>
      <sheetName val="KV_10.sz.tájékoztató_t"/>
    </sheetNames>
    <sheetDataSet>
      <sheetData sheetId="0"/>
      <sheetData sheetId="1">
        <row r="7">
          <cell r="A7" t="str">
            <v>a</v>
          </cell>
        </row>
        <row r="11">
          <cell r="A11" t="str">
            <v>Bátaszéki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Normal="100" workbookViewId="0">
      <selection activeCell="H50" sqref="H50"/>
    </sheetView>
  </sheetViews>
  <sheetFormatPr defaultRowHeight="15" x14ac:dyDescent="0.25"/>
  <cols>
    <col min="1" max="1" width="15.42578125" customWidth="1"/>
    <col min="2" max="2" width="47.7109375" customWidth="1"/>
    <col min="3" max="3" width="20" style="76" customWidth="1"/>
    <col min="4" max="4" width="10.85546875" style="242" hidden="1" customWidth="1"/>
    <col min="5" max="5" width="13.28515625" style="242" hidden="1" customWidth="1"/>
    <col min="7" max="7" width="18.5703125" customWidth="1"/>
    <col min="9" max="9" width="10.5703125" bestFit="1" customWidth="1"/>
    <col min="11" max="11" width="10" bestFit="1" customWidth="1"/>
  </cols>
  <sheetData>
    <row r="1" spans="1:3" ht="16.5" thickBot="1" x14ac:dyDescent="0.3">
      <c r="A1" s="33"/>
      <c r="B1" s="34"/>
      <c r="C1" s="52"/>
    </row>
    <row r="2" spans="1:3" ht="24" x14ac:dyDescent="0.25">
      <c r="A2" s="2" t="s">
        <v>42</v>
      </c>
      <c r="B2" s="3" t="str">
        <f>CONCATENATE([1]ALAPADATOK!A11)</f>
        <v>Bátaszéki Közös Önkormányzati Hivatal</v>
      </c>
      <c r="C2" s="53" t="s">
        <v>105</v>
      </c>
    </row>
    <row r="3" spans="1:3" ht="24.75" thickBot="1" x14ac:dyDescent="0.3">
      <c r="A3" s="4" t="s">
        <v>43</v>
      </c>
      <c r="B3" s="5" t="s">
        <v>44</v>
      </c>
      <c r="C3" s="54" t="s">
        <v>106</v>
      </c>
    </row>
    <row r="4" spans="1:3" ht="15.75" thickBot="1" x14ac:dyDescent="0.3">
      <c r="A4" s="35"/>
      <c r="B4" s="35"/>
      <c r="C4" s="55"/>
    </row>
    <row r="5" spans="1:3" ht="15.75" thickBot="1" x14ac:dyDescent="0.3">
      <c r="A5" s="6" t="s">
        <v>45</v>
      </c>
      <c r="B5" s="7" t="s">
        <v>46</v>
      </c>
      <c r="C5" s="56" t="s">
        <v>47</v>
      </c>
    </row>
    <row r="6" spans="1:3" ht="15.75" thickBot="1" x14ac:dyDescent="0.3">
      <c r="A6" s="8"/>
      <c r="B6" s="9" t="s">
        <v>48</v>
      </c>
      <c r="C6" s="57" t="s">
        <v>49</v>
      </c>
    </row>
    <row r="7" spans="1:3" ht="15.75" thickBot="1" x14ac:dyDescent="0.3">
      <c r="A7" s="10"/>
      <c r="B7" s="11" t="s">
        <v>50</v>
      </c>
      <c r="C7" s="58"/>
    </row>
    <row r="8" spans="1:3" ht="15.75" thickBot="1" x14ac:dyDescent="0.3">
      <c r="A8" s="12" t="s">
        <v>51</v>
      </c>
      <c r="B8" s="13" t="s">
        <v>52</v>
      </c>
      <c r="C8" s="59">
        <f>SUM(C9:C19)</f>
        <v>2400107</v>
      </c>
    </row>
    <row r="9" spans="1:3" x14ac:dyDescent="0.25">
      <c r="A9" s="14" t="s">
        <v>107</v>
      </c>
      <c r="B9" s="15" t="s">
        <v>15</v>
      </c>
      <c r="C9" s="60"/>
    </row>
    <row r="10" spans="1:3" x14ac:dyDescent="0.25">
      <c r="A10" s="16" t="s">
        <v>108</v>
      </c>
      <c r="B10" s="17" t="s">
        <v>8</v>
      </c>
      <c r="C10" s="61">
        <v>180000</v>
      </c>
    </row>
    <row r="11" spans="1:3" x14ac:dyDescent="0.25">
      <c r="A11" s="16" t="s">
        <v>109</v>
      </c>
      <c r="B11" s="17" t="s">
        <v>9</v>
      </c>
      <c r="C11" s="61">
        <v>1410000</v>
      </c>
    </row>
    <row r="12" spans="1:3" x14ac:dyDescent="0.25">
      <c r="A12" s="16" t="s">
        <v>110</v>
      </c>
      <c r="B12" s="17" t="s">
        <v>53</v>
      </c>
      <c r="C12" s="61"/>
    </row>
    <row r="13" spans="1:3" x14ac:dyDescent="0.25">
      <c r="A13" s="16" t="s">
        <v>111</v>
      </c>
      <c r="B13" s="17" t="s">
        <v>54</v>
      </c>
      <c r="C13" s="61"/>
    </row>
    <row r="14" spans="1:3" x14ac:dyDescent="0.25">
      <c r="A14" s="16" t="s">
        <v>112</v>
      </c>
      <c r="B14" s="17" t="s">
        <v>10</v>
      </c>
      <c r="C14" s="61">
        <v>429300</v>
      </c>
    </row>
    <row r="15" spans="1:3" x14ac:dyDescent="0.25">
      <c r="A15" s="16" t="s">
        <v>113</v>
      </c>
      <c r="B15" s="18" t="s">
        <v>55</v>
      </c>
      <c r="C15" s="61">
        <v>380807</v>
      </c>
    </row>
    <row r="16" spans="1:3" x14ac:dyDescent="0.25">
      <c r="A16" s="16" t="s">
        <v>114</v>
      </c>
      <c r="B16" s="17" t="s">
        <v>56</v>
      </c>
      <c r="C16" s="62"/>
    </row>
    <row r="17" spans="1:5" x14ac:dyDescent="0.25">
      <c r="A17" s="16" t="s">
        <v>115</v>
      </c>
      <c r="B17" s="17" t="s">
        <v>57</v>
      </c>
      <c r="C17" s="61"/>
    </row>
    <row r="18" spans="1:5" x14ac:dyDescent="0.25">
      <c r="A18" s="16" t="s">
        <v>116</v>
      </c>
      <c r="B18" s="17" t="s">
        <v>58</v>
      </c>
      <c r="C18" s="63"/>
    </row>
    <row r="19" spans="1:5" ht="15.75" thickBot="1" x14ac:dyDescent="0.3">
      <c r="A19" s="16" t="s">
        <v>117</v>
      </c>
      <c r="B19" s="18" t="s">
        <v>59</v>
      </c>
      <c r="C19" s="63"/>
    </row>
    <row r="20" spans="1:5" ht="21.75" thickBot="1" x14ac:dyDescent="0.3">
      <c r="A20" s="12" t="s">
        <v>60</v>
      </c>
      <c r="B20" s="13" t="s">
        <v>61</v>
      </c>
      <c r="C20" s="59">
        <f>SUM(C21:C23)</f>
        <v>55836478</v>
      </c>
      <c r="D20" s="242">
        <v>55075152</v>
      </c>
      <c r="E20" s="242">
        <f>C20-D20</f>
        <v>761326</v>
      </c>
    </row>
    <row r="21" spans="1:5" x14ac:dyDescent="0.25">
      <c r="A21" s="16" t="s">
        <v>118</v>
      </c>
      <c r="B21" s="19" t="s">
        <v>62</v>
      </c>
      <c r="C21" s="61"/>
      <c r="E21" s="242">
        <f t="shared" ref="E21:E58" si="0">C21-D21</f>
        <v>0</v>
      </c>
    </row>
    <row r="22" spans="1:5" x14ac:dyDescent="0.25">
      <c r="A22" s="16" t="s">
        <v>119</v>
      </c>
      <c r="B22" s="17" t="s">
        <v>132</v>
      </c>
      <c r="C22" s="61"/>
      <c r="E22" s="242">
        <f t="shared" si="0"/>
        <v>0</v>
      </c>
    </row>
    <row r="23" spans="1:5" ht="22.5" x14ac:dyDescent="0.25">
      <c r="A23" s="16" t="s">
        <v>120</v>
      </c>
      <c r="B23" s="17" t="s">
        <v>64</v>
      </c>
      <c r="C23" s="61">
        <v>55836478</v>
      </c>
      <c r="E23" s="242">
        <f t="shared" si="0"/>
        <v>55836478</v>
      </c>
    </row>
    <row r="24" spans="1:5" ht="15.75" thickBot="1" x14ac:dyDescent="0.3">
      <c r="A24" s="16" t="s">
        <v>121</v>
      </c>
      <c r="B24" s="17" t="s">
        <v>65</v>
      </c>
      <c r="C24" s="61"/>
      <c r="E24" s="242">
        <f t="shared" si="0"/>
        <v>0</v>
      </c>
    </row>
    <row r="25" spans="1:5" ht="15.75" thickBot="1" x14ac:dyDescent="0.3">
      <c r="A25" s="20" t="s">
        <v>66</v>
      </c>
      <c r="B25" s="21" t="s">
        <v>16</v>
      </c>
      <c r="C25" s="64"/>
      <c r="E25" s="242">
        <f t="shared" si="0"/>
        <v>0</v>
      </c>
    </row>
    <row r="26" spans="1:5" ht="21.75" thickBot="1" x14ac:dyDescent="0.3">
      <c r="A26" s="20" t="s">
        <v>67</v>
      </c>
      <c r="B26" s="21" t="s">
        <v>68</v>
      </c>
      <c r="C26" s="59">
        <f>+C27+C28+C29</f>
        <v>0</v>
      </c>
      <c r="E26" s="242">
        <f t="shared" si="0"/>
        <v>0</v>
      </c>
    </row>
    <row r="27" spans="1:5" x14ac:dyDescent="0.25">
      <c r="A27" s="22" t="s">
        <v>122</v>
      </c>
      <c r="B27" s="23" t="s">
        <v>69</v>
      </c>
      <c r="C27" s="65"/>
      <c r="E27" s="242">
        <f t="shared" si="0"/>
        <v>0</v>
      </c>
    </row>
    <row r="28" spans="1:5" ht="22.5" x14ac:dyDescent="0.25">
      <c r="A28" s="22" t="s">
        <v>123</v>
      </c>
      <c r="B28" s="23" t="s">
        <v>63</v>
      </c>
      <c r="C28" s="61"/>
      <c r="E28" s="242">
        <f t="shared" si="0"/>
        <v>0</v>
      </c>
    </row>
    <row r="29" spans="1:5" ht="22.5" x14ac:dyDescent="0.25">
      <c r="A29" s="22" t="s">
        <v>124</v>
      </c>
      <c r="B29" s="24" t="s">
        <v>70</v>
      </c>
      <c r="C29" s="61"/>
      <c r="E29" s="242">
        <f t="shared" si="0"/>
        <v>0</v>
      </c>
    </row>
    <row r="30" spans="1:5" ht="15.75" thickBot="1" x14ac:dyDescent="0.3">
      <c r="A30" s="16" t="s">
        <v>125</v>
      </c>
      <c r="B30" s="25" t="s">
        <v>71</v>
      </c>
      <c r="C30" s="66"/>
      <c r="E30" s="242">
        <f t="shared" si="0"/>
        <v>0</v>
      </c>
    </row>
    <row r="31" spans="1:5" ht="15.75" thickBot="1" x14ac:dyDescent="0.3">
      <c r="A31" s="20" t="s">
        <v>72</v>
      </c>
      <c r="B31" s="21" t="s">
        <v>73</v>
      </c>
      <c r="C31" s="59">
        <f>+C32+C33+C34</f>
        <v>0</v>
      </c>
      <c r="E31" s="242">
        <f t="shared" si="0"/>
        <v>0</v>
      </c>
    </row>
    <row r="32" spans="1:5" x14ac:dyDescent="0.25">
      <c r="A32" s="22" t="s">
        <v>126</v>
      </c>
      <c r="B32" s="23" t="s">
        <v>74</v>
      </c>
      <c r="C32" s="65"/>
      <c r="E32" s="242">
        <f t="shared" si="0"/>
        <v>0</v>
      </c>
    </row>
    <row r="33" spans="1:9" x14ac:dyDescent="0.25">
      <c r="A33" s="22" t="s">
        <v>127</v>
      </c>
      <c r="B33" s="24" t="s">
        <v>75</v>
      </c>
      <c r="C33" s="67"/>
      <c r="E33" s="242">
        <f t="shared" si="0"/>
        <v>0</v>
      </c>
    </row>
    <row r="34" spans="1:9" ht="15.75" thickBot="1" x14ac:dyDescent="0.3">
      <c r="A34" s="16" t="s">
        <v>128</v>
      </c>
      <c r="B34" s="25" t="s">
        <v>76</v>
      </c>
      <c r="C34" s="66"/>
      <c r="E34" s="242">
        <f t="shared" si="0"/>
        <v>0</v>
      </c>
      <c r="I34" s="50"/>
    </row>
    <row r="35" spans="1:9" ht="15.75" thickBot="1" x14ac:dyDescent="0.3">
      <c r="A35" s="20" t="s">
        <v>77</v>
      </c>
      <c r="B35" s="21" t="s">
        <v>78</v>
      </c>
      <c r="C35" s="64"/>
      <c r="E35" s="242">
        <f t="shared" si="0"/>
        <v>0</v>
      </c>
    </row>
    <row r="36" spans="1:9" ht="15.75" thickBot="1" x14ac:dyDescent="0.3">
      <c r="A36" s="20" t="s">
        <v>79</v>
      </c>
      <c r="B36" s="21" t="s">
        <v>80</v>
      </c>
      <c r="C36" s="68"/>
      <c r="E36" s="242">
        <f t="shared" si="0"/>
        <v>0</v>
      </c>
    </row>
    <row r="37" spans="1:9" ht="15.75" thickBot="1" x14ac:dyDescent="0.3">
      <c r="A37" s="12" t="s">
        <v>81</v>
      </c>
      <c r="B37" s="21" t="s">
        <v>82</v>
      </c>
      <c r="C37" s="69">
        <f>+C8+C20+C25+C26+C31+C35+C36</f>
        <v>58236585</v>
      </c>
      <c r="E37" s="242">
        <f t="shared" si="0"/>
        <v>58236585</v>
      </c>
    </row>
    <row r="38" spans="1:9" ht="15.75" thickBot="1" x14ac:dyDescent="0.3">
      <c r="A38" s="36" t="s">
        <v>83</v>
      </c>
      <c r="B38" s="21" t="s">
        <v>84</v>
      </c>
      <c r="C38" s="69">
        <f>+C39+C40+C41</f>
        <v>285393797</v>
      </c>
      <c r="D38" s="242">
        <v>269830650</v>
      </c>
      <c r="E38" s="242">
        <f t="shared" si="0"/>
        <v>15563147</v>
      </c>
    </row>
    <row r="39" spans="1:9" x14ac:dyDescent="0.25">
      <c r="A39" s="22" t="s">
        <v>129</v>
      </c>
      <c r="B39" s="23" t="s">
        <v>85</v>
      </c>
      <c r="C39" s="65">
        <v>23073504</v>
      </c>
      <c r="E39" s="242">
        <f t="shared" si="0"/>
        <v>23073504</v>
      </c>
    </row>
    <row r="40" spans="1:9" x14ac:dyDescent="0.25">
      <c r="A40" s="22" t="s">
        <v>130</v>
      </c>
      <c r="B40" s="24" t="s">
        <v>86</v>
      </c>
      <c r="C40" s="67"/>
      <c r="E40" s="242">
        <f t="shared" si="0"/>
        <v>0</v>
      </c>
    </row>
    <row r="41" spans="1:9" ht="23.25" thickBot="1" x14ac:dyDescent="0.3">
      <c r="A41" s="16" t="s">
        <v>131</v>
      </c>
      <c r="B41" s="25" t="s">
        <v>87</v>
      </c>
      <c r="C41" s="70">
        <f>246757146+15563147</f>
        <v>262320293</v>
      </c>
      <c r="D41" s="242">
        <v>246757146</v>
      </c>
      <c r="E41" s="242">
        <f t="shared" si="0"/>
        <v>15563147</v>
      </c>
    </row>
    <row r="42" spans="1:9" ht="15.75" thickBot="1" x14ac:dyDescent="0.3">
      <c r="A42" s="36" t="s">
        <v>88</v>
      </c>
      <c r="B42" s="37" t="s">
        <v>89</v>
      </c>
      <c r="C42" s="71">
        <f>+C37+C38</f>
        <v>343630382</v>
      </c>
      <c r="E42" s="242">
        <f t="shared" si="0"/>
        <v>343630382</v>
      </c>
    </row>
    <row r="43" spans="1:9" x14ac:dyDescent="0.25">
      <c r="A43" s="26"/>
      <c r="B43" s="27"/>
      <c r="C43"/>
      <c r="E43" s="242">
        <f t="shared" si="0"/>
        <v>0</v>
      </c>
    </row>
    <row r="44" spans="1:9" x14ac:dyDescent="0.25">
      <c r="A44" s="26"/>
      <c r="B44" s="27"/>
      <c r="C44"/>
      <c r="E44" s="242">
        <f t="shared" si="0"/>
        <v>0</v>
      </c>
    </row>
    <row r="45" spans="1:9" ht="15.75" thickBot="1" x14ac:dyDescent="0.3">
      <c r="A45" s="38"/>
      <c r="B45" s="39"/>
      <c r="C45"/>
      <c r="E45" s="242">
        <f t="shared" si="0"/>
        <v>0</v>
      </c>
    </row>
    <row r="46" spans="1:9" ht="15.75" thickBot="1" x14ac:dyDescent="0.3">
      <c r="A46" s="28"/>
      <c r="B46" s="29" t="s">
        <v>90</v>
      </c>
      <c r="C46" s="71"/>
      <c r="E46" s="242">
        <f t="shared" si="0"/>
        <v>0</v>
      </c>
    </row>
    <row r="47" spans="1:9" ht="15.75" thickBot="1" x14ac:dyDescent="0.3">
      <c r="A47" s="20" t="s">
        <v>51</v>
      </c>
      <c r="B47" s="21" t="s">
        <v>91</v>
      </c>
      <c r="C47" s="59">
        <f>SUM(C48:C52)</f>
        <v>342630382</v>
      </c>
      <c r="E47" s="242">
        <f t="shared" si="0"/>
        <v>342630382</v>
      </c>
    </row>
    <row r="48" spans="1:9" x14ac:dyDescent="0.25">
      <c r="A48" s="16" t="s">
        <v>107</v>
      </c>
      <c r="B48" s="19" t="s">
        <v>92</v>
      </c>
      <c r="C48" s="65">
        <f>232033228+13772697+275000+350000</f>
        <v>246430925</v>
      </c>
      <c r="D48" s="242">
        <v>232033228</v>
      </c>
      <c r="E48" s="242">
        <f t="shared" si="0"/>
        <v>14397697</v>
      </c>
    </row>
    <row r="49" spans="1:5" x14ac:dyDescent="0.25">
      <c r="A49" s="16" t="s">
        <v>108</v>
      </c>
      <c r="B49" s="17" t="s">
        <v>93</v>
      </c>
      <c r="C49" s="51">
        <f>31138766+1790450+35750+45500</f>
        <v>33010466</v>
      </c>
      <c r="D49" s="242">
        <v>31138766</v>
      </c>
      <c r="E49" s="242">
        <f t="shared" si="0"/>
        <v>1871700</v>
      </c>
    </row>
    <row r="50" spans="1:5" x14ac:dyDescent="0.25">
      <c r="A50" s="16" t="s">
        <v>109</v>
      </c>
      <c r="B50" s="17" t="s">
        <v>94</v>
      </c>
      <c r="C50" s="51">
        <v>62464472</v>
      </c>
      <c r="D50" s="242">
        <v>62409396</v>
      </c>
      <c r="E50" s="242">
        <f t="shared" si="0"/>
        <v>55076</v>
      </c>
    </row>
    <row r="51" spans="1:5" x14ac:dyDescent="0.25">
      <c r="A51" s="16" t="s">
        <v>110</v>
      </c>
      <c r="B51" s="17" t="s">
        <v>95</v>
      </c>
      <c r="C51" s="51"/>
      <c r="E51" s="242">
        <f t="shared" si="0"/>
        <v>0</v>
      </c>
    </row>
    <row r="52" spans="1:5" ht="15.75" thickBot="1" x14ac:dyDescent="0.3">
      <c r="A52" s="16" t="s">
        <v>111</v>
      </c>
      <c r="B52" s="17" t="s">
        <v>96</v>
      </c>
      <c r="C52" s="51">
        <v>724519</v>
      </c>
      <c r="E52" s="242">
        <f t="shared" si="0"/>
        <v>724519</v>
      </c>
    </row>
    <row r="53" spans="1:5" ht="15.75" thickBot="1" x14ac:dyDescent="0.3">
      <c r="A53" s="20" t="s">
        <v>60</v>
      </c>
      <c r="B53" s="21" t="s">
        <v>97</v>
      </c>
      <c r="C53" s="59">
        <v>1000000</v>
      </c>
      <c r="E53" s="242">
        <f t="shared" si="0"/>
        <v>1000000</v>
      </c>
    </row>
    <row r="54" spans="1:5" x14ac:dyDescent="0.25">
      <c r="A54" s="16" t="s">
        <v>118</v>
      </c>
      <c r="B54" s="19" t="s">
        <v>98</v>
      </c>
      <c r="C54" s="65">
        <v>1000000</v>
      </c>
      <c r="E54" s="242">
        <f t="shared" si="0"/>
        <v>1000000</v>
      </c>
    </row>
    <row r="55" spans="1:5" x14ac:dyDescent="0.25">
      <c r="A55" s="16" t="s">
        <v>119</v>
      </c>
      <c r="B55" s="17" t="s">
        <v>17</v>
      </c>
      <c r="C55" s="51"/>
      <c r="E55" s="242">
        <f t="shared" si="0"/>
        <v>0</v>
      </c>
    </row>
    <row r="56" spans="1:5" x14ac:dyDescent="0.25">
      <c r="A56" s="16" t="s">
        <v>120</v>
      </c>
      <c r="B56" s="17" t="s">
        <v>99</v>
      </c>
      <c r="C56" s="51"/>
      <c r="E56" s="242">
        <f t="shared" si="0"/>
        <v>0</v>
      </c>
    </row>
    <row r="57" spans="1:5" ht="23.25" thickBot="1" x14ac:dyDescent="0.3">
      <c r="A57" s="16" t="s">
        <v>121</v>
      </c>
      <c r="B57" s="17" t="s">
        <v>100</v>
      </c>
      <c r="C57" s="51"/>
      <c r="E57" s="242">
        <f t="shared" si="0"/>
        <v>0</v>
      </c>
    </row>
    <row r="58" spans="1:5" ht="15.75" thickBot="1" x14ac:dyDescent="0.3">
      <c r="A58" s="20" t="s">
        <v>66</v>
      </c>
      <c r="B58" s="21" t="s">
        <v>101</v>
      </c>
      <c r="C58" s="64"/>
      <c r="E58" s="242">
        <f t="shared" si="0"/>
        <v>0</v>
      </c>
    </row>
    <row r="59" spans="1:5" ht="15.75" thickBot="1" x14ac:dyDescent="0.3">
      <c r="A59" s="20" t="s">
        <v>67</v>
      </c>
      <c r="B59" s="30" t="s">
        <v>102</v>
      </c>
      <c r="C59" s="72">
        <f>+C47+C53+C58</f>
        <v>343630382</v>
      </c>
      <c r="D59" s="242">
        <v>327305909</v>
      </c>
      <c r="E59" s="242">
        <f>C59-D59</f>
        <v>16324473</v>
      </c>
    </row>
    <row r="60" spans="1:5" ht="15.75" thickBot="1" x14ac:dyDescent="0.3">
      <c r="A60" s="40"/>
      <c r="B60" s="41"/>
      <c r="C60" s="73">
        <f>C42-C59</f>
        <v>0</v>
      </c>
    </row>
    <row r="61" spans="1:5" ht="15.75" thickBot="1" x14ac:dyDescent="0.3">
      <c r="A61" s="31" t="s">
        <v>103</v>
      </c>
      <c r="B61" s="32"/>
      <c r="C61" s="74">
        <v>35.5</v>
      </c>
    </row>
    <row r="62" spans="1:5" ht="15.75" thickBot="1" x14ac:dyDescent="0.3">
      <c r="A62" s="31" t="s">
        <v>104</v>
      </c>
      <c r="B62" s="32"/>
      <c r="C62" s="75"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7"/>
  <sheetViews>
    <sheetView topLeftCell="A16" zoomScaleNormal="100" zoomScaleSheetLayoutView="100" workbookViewId="0">
      <selection activeCell="H22" sqref="H22"/>
    </sheetView>
  </sheetViews>
  <sheetFormatPr defaultColWidth="8.85546875" defaultRowHeight="24.95" customHeight="1" x14ac:dyDescent="0.25"/>
  <cols>
    <col min="1" max="1" width="27.85546875" style="234" customWidth="1"/>
    <col min="2" max="2" width="13.7109375" style="109" bestFit="1" customWidth="1"/>
    <col min="3" max="3" width="11.42578125" style="227" bestFit="1" customWidth="1"/>
    <col min="4" max="4" width="14.7109375" style="227" customWidth="1"/>
    <col min="5" max="5" width="11.42578125" style="227" bestFit="1" customWidth="1"/>
    <col min="6" max="6" width="13.140625" style="227" customWidth="1"/>
    <col min="7" max="7" width="10.85546875" style="227" bestFit="1" customWidth="1"/>
    <col min="8" max="8" width="15.140625" style="235" customWidth="1"/>
    <col min="9" max="9" width="15.42578125" style="227" bestFit="1" customWidth="1"/>
    <col min="10" max="10" width="15.28515625" style="227" bestFit="1" customWidth="1"/>
    <col min="11" max="12" width="14.28515625" style="227" bestFit="1" customWidth="1"/>
    <col min="13" max="14" width="13.140625" style="227" bestFit="1" customWidth="1"/>
    <col min="15" max="15" width="14.28515625" style="227" bestFit="1" customWidth="1"/>
    <col min="16" max="16" width="17.5703125" style="227" customWidth="1"/>
    <col min="17" max="17" width="10.5703125" style="209" hidden="1" customWidth="1"/>
    <col min="18" max="18" width="9" style="209" bestFit="1" customWidth="1"/>
    <col min="19" max="19" width="12.5703125" style="209" bestFit="1" customWidth="1"/>
    <col min="20" max="20" width="9" style="209" bestFit="1" customWidth="1"/>
    <col min="21" max="21" width="14.85546875" style="210" customWidth="1"/>
    <col min="22" max="22" width="8.85546875" style="209"/>
    <col min="23" max="23" width="16.7109375" style="209" customWidth="1"/>
    <col min="24" max="43" width="8.85546875" style="209"/>
    <col min="44" max="16384" width="8.85546875" style="109"/>
  </cols>
  <sheetData>
    <row r="1" spans="1:43" ht="24.95" customHeight="1" thickBot="1" x14ac:dyDescent="0.3">
      <c r="A1" s="202"/>
      <c r="B1" s="203"/>
      <c r="C1" s="204"/>
      <c r="D1" s="204"/>
      <c r="E1" s="204"/>
      <c r="F1" s="204"/>
      <c r="G1" s="205"/>
      <c r="H1" s="206"/>
      <c r="I1" s="207"/>
      <c r="J1" s="204"/>
      <c r="K1" s="204"/>
      <c r="L1" s="204"/>
      <c r="M1" s="204"/>
      <c r="N1" s="204"/>
      <c r="O1" s="204"/>
      <c r="P1" s="205"/>
      <c r="Q1" s="208"/>
    </row>
    <row r="2" spans="1:43" s="221" customFormat="1" ht="43.5" thickBot="1" x14ac:dyDescent="0.3">
      <c r="A2" s="211" t="s">
        <v>12</v>
      </c>
      <c r="B2" s="212" t="s">
        <v>28</v>
      </c>
      <c r="C2" s="213" t="s">
        <v>18</v>
      </c>
      <c r="D2" s="213" t="s">
        <v>155</v>
      </c>
      <c r="E2" s="213" t="s">
        <v>29</v>
      </c>
      <c r="F2" s="213" t="s">
        <v>30</v>
      </c>
      <c r="G2" s="214" t="s">
        <v>41</v>
      </c>
      <c r="H2" s="215" t="s">
        <v>0</v>
      </c>
      <c r="I2" s="216" t="s">
        <v>1</v>
      </c>
      <c r="J2" s="213" t="s">
        <v>3</v>
      </c>
      <c r="K2" s="213" t="s">
        <v>2</v>
      </c>
      <c r="L2" s="213" t="s">
        <v>35</v>
      </c>
      <c r="M2" s="213" t="s">
        <v>13</v>
      </c>
      <c r="N2" s="213" t="s">
        <v>14</v>
      </c>
      <c r="O2" s="213" t="s">
        <v>140</v>
      </c>
      <c r="P2" s="214" t="s">
        <v>7</v>
      </c>
      <c r="Q2" s="217"/>
      <c r="R2" s="218"/>
      <c r="S2" s="218"/>
      <c r="T2" s="219"/>
      <c r="U2" s="220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</row>
    <row r="3" spans="1:43" s="223" customFormat="1" ht="45" x14ac:dyDescent="0.25">
      <c r="A3" s="104" t="s">
        <v>34</v>
      </c>
      <c r="B3" s="105">
        <f>210410200+13772697+275000+350000</f>
        <v>224807897</v>
      </c>
      <c r="C3" s="106">
        <f>27353326+1790450+45500</f>
        <v>29189276</v>
      </c>
      <c r="D3" s="106"/>
      <c r="E3" s="106"/>
      <c r="F3" s="106"/>
      <c r="G3" s="107"/>
      <c r="H3" s="96">
        <f>SUM(B3:F3)</f>
        <v>253997173</v>
      </c>
      <c r="I3" s="198">
        <f>117518830+9134133</f>
        <v>126652963</v>
      </c>
      <c r="J3" s="106">
        <f>18164032+1027225</f>
        <v>19191257</v>
      </c>
      <c r="K3" s="106">
        <f>20087632+1017011+1</f>
        <v>21104644</v>
      </c>
      <c r="L3" s="106">
        <f>16063924+890067</f>
        <v>16953991</v>
      </c>
      <c r="M3" s="106">
        <v>9161840</v>
      </c>
      <c r="N3" s="106">
        <v>5129410</v>
      </c>
      <c r="O3" s="106">
        <f>24284532+1704260+275000+350000</f>
        <v>26613792</v>
      </c>
      <c r="P3" s="95">
        <f>SUM(I3:O3)</f>
        <v>224807897</v>
      </c>
      <c r="Q3" s="81">
        <f t="shared" ref="Q3:Q8" si="0">P3-B3</f>
        <v>0</v>
      </c>
      <c r="R3" s="126"/>
      <c r="S3" s="126"/>
      <c r="T3" s="77"/>
      <c r="U3" s="222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</row>
    <row r="4" spans="1:43" s="223" customFormat="1" ht="15" x14ac:dyDescent="0.25">
      <c r="A4" s="82" t="s">
        <v>133</v>
      </c>
      <c r="B4" s="83"/>
      <c r="C4" s="77"/>
      <c r="D4" s="77"/>
      <c r="E4" s="77"/>
      <c r="F4" s="77"/>
      <c r="G4" s="84"/>
      <c r="H4" s="86">
        <f t="shared" ref="H4:H8" si="1">SUM(B4:F4)</f>
        <v>0</v>
      </c>
      <c r="I4" s="80"/>
      <c r="J4" s="77"/>
      <c r="K4" s="77"/>
      <c r="L4" s="77"/>
      <c r="M4" s="77"/>
      <c r="N4" s="77"/>
      <c r="O4" s="77"/>
      <c r="P4" s="85">
        <f t="shared" ref="P4:P21" si="2">SUM(I4:O4)</f>
        <v>0</v>
      </c>
      <c r="Q4" s="81">
        <f t="shared" si="0"/>
        <v>0</v>
      </c>
      <c r="R4" s="126"/>
      <c r="S4" s="126"/>
      <c r="T4" s="77"/>
      <c r="U4" s="222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</row>
    <row r="5" spans="1:43" s="223" customFormat="1" ht="15" x14ac:dyDescent="0.25">
      <c r="A5" s="82" t="s">
        <v>40</v>
      </c>
      <c r="B5" s="83"/>
      <c r="C5" s="77"/>
      <c r="D5" s="77"/>
      <c r="E5" s="77"/>
      <c r="F5" s="77"/>
      <c r="G5" s="84"/>
      <c r="H5" s="86">
        <f t="shared" si="1"/>
        <v>0</v>
      </c>
      <c r="I5" s="80"/>
      <c r="J5" s="77"/>
      <c r="K5" s="77"/>
      <c r="L5" s="77"/>
      <c r="M5" s="77"/>
      <c r="N5" s="77"/>
      <c r="O5" s="77"/>
      <c r="P5" s="85"/>
      <c r="Q5" s="81">
        <f t="shared" si="0"/>
        <v>0</v>
      </c>
      <c r="R5" s="126"/>
      <c r="S5" s="126"/>
      <c r="T5" s="77"/>
      <c r="U5" s="222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</row>
    <row r="6" spans="1:43" s="223" customFormat="1" ht="15" x14ac:dyDescent="0.25">
      <c r="A6" s="82" t="s">
        <v>25</v>
      </c>
      <c r="B6" s="83">
        <v>7871094</v>
      </c>
      <c r="C6" s="77">
        <v>2203906</v>
      </c>
      <c r="D6" s="77"/>
      <c r="E6" s="77"/>
      <c r="F6" s="77"/>
      <c r="G6" s="84"/>
      <c r="H6" s="86">
        <f t="shared" si="1"/>
        <v>10075000</v>
      </c>
      <c r="I6" s="80">
        <v>5573500</v>
      </c>
      <c r="J6" s="77">
        <v>915250</v>
      </c>
      <c r="K6" s="77">
        <v>999250</v>
      </c>
      <c r="L6" s="77">
        <v>825250</v>
      </c>
      <c r="M6" s="77">
        <v>427250</v>
      </c>
      <c r="N6" s="77">
        <v>257500</v>
      </c>
      <c r="O6" s="77">
        <v>1077000</v>
      </c>
      <c r="P6" s="85">
        <f t="shared" si="2"/>
        <v>10075000</v>
      </c>
      <c r="Q6" s="81">
        <f t="shared" si="0"/>
        <v>2203906</v>
      </c>
      <c r="R6" s="126"/>
      <c r="S6" s="126"/>
      <c r="T6" s="77"/>
      <c r="U6" s="222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</row>
    <row r="7" spans="1:43" s="223" customFormat="1" ht="15" x14ac:dyDescent="0.25">
      <c r="A7" s="82" t="s">
        <v>39</v>
      </c>
      <c r="B7" s="83">
        <v>2467500</v>
      </c>
      <c r="C7" s="77"/>
      <c r="D7" s="77"/>
      <c r="E7" s="77"/>
      <c r="F7" s="77"/>
      <c r="G7" s="84"/>
      <c r="H7" s="86">
        <f t="shared" si="1"/>
        <v>2467500</v>
      </c>
      <c r="I7" s="80">
        <v>1263753</v>
      </c>
      <c r="J7" s="77">
        <v>365209</v>
      </c>
      <c r="K7" s="77">
        <v>171169</v>
      </c>
      <c r="L7" s="77">
        <v>96852</v>
      </c>
      <c r="M7" s="77">
        <v>325142</v>
      </c>
      <c r="N7" s="77">
        <v>78778</v>
      </c>
      <c r="O7" s="77">
        <v>166597</v>
      </c>
      <c r="P7" s="85">
        <f t="shared" si="2"/>
        <v>2467500</v>
      </c>
      <c r="Q7" s="81">
        <f t="shared" si="0"/>
        <v>0</v>
      </c>
      <c r="R7" s="126"/>
      <c r="S7" s="126"/>
      <c r="T7" s="77"/>
      <c r="U7" s="222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</row>
    <row r="8" spans="1:43" s="111" customFormat="1" ht="24.95" customHeight="1" x14ac:dyDescent="0.25">
      <c r="A8" s="82" t="s">
        <v>141</v>
      </c>
      <c r="B8" s="83">
        <v>433000</v>
      </c>
      <c r="C8" s="77"/>
      <c r="D8" s="77"/>
      <c r="E8" s="77"/>
      <c r="F8" s="77"/>
      <c r="G8" s="84"/>
      <c r="H8" s="86">
        <f t="shared" si="1"/>
        <v>433000</v>
      </c>
      <c r="I8" s="80">
        <v>246940</v>
      </c>
      <c r="J8" s="77">
        <v>36610</v>
      </c>
      <c r="K8" s="77">
        <v>39970</v>
      </c>
      <c r="L8" s="77">
        <v>33010</v>
      </c>
      <c r="M8" s="77">
        <v>17090</v>
      </c>
      <c r="N8" s="77">
        <v>10300</v>
      </c>
      <c r="O8" s="77">
        <v>49080</v>
      </c>
      <c r="P8" s="85">
        <f t="shared" si="2"/>
        <v>433000</v>
      </c>
      <c r="Q8" s="81">
        <f t="shared" si="0"/>
        <v>0</v>
      </c>
      <c r="R8" s="136"/>
      <c r="S8" s="136"/>
      <c r="T8" s="77"/>
      <c r="U8" s="222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</row>
    <row r="9" spans="1:43" s="136" customFormat="1" ht="24.95" customHeight="1" x14ac:dyDescent="0.25">
      <c r="A9" s="82" t="s">
        <v>152</v>
      </c>
      <c r="B9" s="83">
        <v>4264290</v>
      </c>
      <c r="C9" s="77"/>
      <c r="D9" s="77">
        <v>551446</v>
      </c>
      <c r="E9" s="77"/>
      <c r="F9" s="77"/>
      <c r="G9" s="84"/>
      <c r="H9" s="86">
        <f>SUM(B9:F9)</f>
        <v>4815736</v>
      </c>
      <c r="I9" s="80">
        <v>4264290</v>
      </c>
      <c r="J9" s="77"/>
      <c r="K9" s="77"/>
      <c r="L9" s="77"/>
      <c r="M9" s="77"/>
      <c r="N9" s="77"/>
      <c r="O9" s="77"/>
      <c r="P9" s="85">
        <f>H9</f>
        <v>4815736</v>
      </c>
      <c r="Q9" s="81">
        <f>P9-B9</f>
        <v>551446</v>
      </c>
      <c r="T9" s="77"/>
      <c r="U9" s="222"/>
    </row>
    <row r="10" spans="1:43" s="136" customFormat="1" ht="24.95" customHeight="1" x14ac:dyDescent="0.25">
      <c r="A10" s="82" t="s">
        <v>154</v>
      </c>
      <c r="B10" s="83">
        <v>1170444</v>
      </c>
      <c r="C10" s="77"/>
      <c r="D10" s="77">
        <v>154172</v>
      </c>
      <c r="E10" s="77"/>
      <c r="F10" s="77"/>
      <c r="G10" s="84"/>
      <c r="H10" s="86">
        <f>SUM(B10:F10)</f>
        <v>1324616</v>
      </c>
      <c r="I10" s="80">
        <v>1170444</v>
      </c>
      <c r="J10" s="77"/>
      <c r="K10" s="77"/>
      <c r="L10" s="77"/>
      <c r="M10" s="77"/>
      <c r="N10" s="77"/>
      <c r="O10" s="77"/>
      <c r="P10" s="85">
        <f>H10</f>
        <v>1324616</v>
      </c>
      <c r="Q10" s="81"/>
      <c r="T10" s="77"/>
      <c r="U10" s="222"/>
    </row>
    <row r="11" spans="1:43" s="111" customFormat="1" ht="75.75" thickBot="1" x14ac:dyDescent="0.3">
      <c r="A11" s="87" t="s">
        <v>153</v>
      </c>
      <c r="B11" s="88">
        <v>5416700</v>
      </c>
      <c r="C11" s="89">
        <v>875916</v>
      </c>
      <c r="D11" s="89"/>
      <c r="E11" s="89"/>
      <c r="F11" s="89"/>
      <c r="G11" s="90"/>
      <c r="H11" s="91">
        <f>SUM(B11:F11)</f>
        <v>6292616</v>
      </c>
      <c r="I11" s="92">
        <v>5416700</v>
      </c>
      <c r="J11" s="89"/>
      <c r="K11" s="89"/>
      <c r="L11" s="89"/>
      <c r="M11" s="89"/>
      <c r="N11" s="89"/>
      <c r="O11" s="89"/>
      <c r="P11" s="173">
        <f>H11</f>
        <v>6292616</v>
      </c>
      <c r="Q11" s="81">
        <f>P11-B11</f>
        <v>875916</v>
      </c>
      <c r="R11" s="136"/>
      <c r="S11" s="77"/>
      <c r="T11" s="77"/>
      <c r="U11" s="222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</row>
    <row r="12" spans="1:43" s="224" customFormat="1" ht="29.25" thickBot="1" x14ac:dyDescent="0.25">
      <c r="A12" s="98" t="s">
        <v>27</v>
      </c>
      <c r="B12" s="99">
        <f>SUM(B3:B11)</f>
        <v>246430925</v>
      </c>
      <c r="C12" s="100">
        <f>SUM(C3:C11)</f>
        <v>32269098</v>
      </c>
      <c r="D12" s="100">
        <f>SUM(D3:D11)</f>
        <v>705618</v>
      </c>
      <c r="E12" s="100">
        <v>0</v>
      </c>
      <c r="F12" s="100">
        <v>0</v>
      </c>
      <c r="G12" s="101"/>
      <c r="H12" s="102">
        <f>SUM(B12:B12)</f>
        <v>246430925</v>
      </c>
      <c r="I12" s="103">
        <f>SUM(I3:I11)</f>
        <v>144588590</v>
      </c>
      <c r="J12" s="100">
        <f t="shared" ref="J12:O12" si="3">SUM(J3:J11)</f>
        <v>20508326</v>
      </c>
      <c r="K12" s="100">
        <f t="shared" si="3"/>
        <v>22315033</v>
      </c>
      <c r="L12" s="100">
        <f t="shared" si="3"/>
        <v>17909103</v>
      </c>
      <c r="M12" s="100">
        <f t="shared" si="3"/>
        <v>9931322</v>
      </c>
      <c r="N12" s="100">
        <f t="shared" si="3"/>
        <v>5475988</v>
      </c>
      <c r="O12" s="100">
        <f t="shared" si="3"/>
        <v>27906469</v>
      </c>
      <c r="P12" s="101">
        <f>SUM(I12:O12)</f>
        <v>248634831</v>
      </c>
      <c r="Q12" s="81"/>
      <c r="R12" s="126"/>
      <c r="S12" s="126"/>
      <c r="T12" s="78"/>
      <c r="U12" s="125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</row>
    <row r="13" spans="1:43" s="224" customFormat="1" ht="29.25" thickBot="1" x14ac:dyDescent="0.25">
      <c r="A13" s="98" t="s">
        <v>26</v>
      </c>
      <c r="B13" s="99"/>
      <c r="C13" s="100">
        <f>SUM(C3:C11)+35750</f>
        <v>32304848</v>
      </c>
      <c r="D13" s="100">
        <f>SUM(D3:D11)</f>
        <v>705618</v>
      </c>
      <c r="E13" s="100">
        <v>0</v>
      </c>
      <c r="F13" s="100">
        <v>0</v>
      </c>
      <c r="G13" s="101"/>
      <c r="H13" s="102">
        <f>SUM(B13:F13)</f>
        <v>33010466</v>
      </c>
      <c r="I13" s="103">
        <f>16858982+1187437</f>
        <v>18046419</v>
      </c>
      <c r="J13" s="100">
        <f>2361324+133539</f>
        <v>2494863</v>
      </c>
      <c r="K13" s="100">
        <f>2611392+132211</f>
        <v>2743603</v>
      </c>
      <c r="L13" s="100">
        <f>2088310+115709</f>
        <v>2204019</v>
      </c>
      <c r="M13" s="100">
        <v>1191040</v>
      </c>
      <c r="N13" s="100">
        <v>666823</v>
      </c>
      <c r="O13" s="100">
        <f>3156989+221554+35750+45500</f>
        <v>3459793</v>
      </c>
      <c r="P13" s="101">
        <f>SUM(I13:O13)</f>
        <v>30806560</v>
      </c>
      <c r="Q13" s="81">
        <v>15277447.9</v>
      </c>
      <c r="R13" s="126"/>
      <c r="S13" s="126"/>
      <c r="T13" s="78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</row>
    <row r="14" spans="1:43" s="227" customFormat="1" ht="33" customHeight="1" x14ac:dyDescent="0.25">
      <c r="A14" s="104" t="s">
        <v>32</v>
      </c>
      <c r="B14" s="105"/>
      <c r="C14" s="106"/>
      <c r="D14" s="106"/>
      <c r="E14" s="106">
        <v>9000000</v>
      </c>
      <c r="F14" s="106"/>
      <c r="G14" s="107"/>
      <c r="H14" s="96">
        <f t="shared" ref="H14:H21" si="4">SUM(B14:G14)</f>
        <v>9000000</v>
      </c>
      <c r="I14" s="97">
        <v>5849476</v>
      </c>
      <c r="J14" s="94">
        <v>657832</v>
      </c>
      <c r="K14" s="94">
        <v>651291</v>
      </c>
      <c r="L14" s="94">
        <f>569997</f>
        <v>569997</v>
      </c>
      <c r="M14" s="94">
        <v>135000</v>
      </c>
      <c r="N14" s="94">
        <v>45000</v>
      </c>
      <c r="O14" s="94">
        <f>1091404</f>
        <v>1091404</v>
      </c>
      <c r="P14" s="95">
        <f>SUM(I14:O14)</f>
        <v>9000000</v>
      </c>
      <c r="Q14" s="81">
        <f>P14-E14</f>
        <v>0</v>
      </c>
      <c r="R14" s="225"/>
      <c r="S14" s="225"/>
      <c r="T14" s="225"/>
      <c r="U14" s="226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</row>
    <row r="15" spans="1:43" s="227" customFormat="1" ht="45" x14ac:dyDescent="0.25">
      <c r="A15" s="82" t="s">
        <v>31</v>
      </c>
      <c r="B15" s="83"/>
      <c r="C15" s="77"/>
      <c r="D15" s="77"/>
      <c r="E15" s="77">
        <v>27114235</v>
      </c>
      <c r="F15" s="77"/>
      <c r="G15" s="84"/>
      <c r="H15" s="86">
        <f t="shared" si="4"/>
        <v>27114235</v>
      </c>
      <c r="I15" s="80">
        <v>27114235</v>
      </c>
      <c r="J15" s="77"/>
      <c r="K15" s="77"/>
      <c r="L15" s="77"/>
      <c r="M15" s="79"/>
      <c r="N15" s="79"/>
      <c r="O15" s="79"/>
      <c r="P15" s="85">
        <f t="shared" si="2"/>
        <v>27114235</v>
      </c>
      <c r="Q15" s="134">
        <f>P15-I15</f>
        <v>0</v>
      </c>
      <c r="R15" s="225"/>
      <c r="S15" s="226"/>
      <c r="T15" s="225"/>
      <c r="U15" s="226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</row>
    <row r="16" spans="1:43" s="227" customFormat="1" ht="15" x14ac:dyDescent="0.25">
      <c r="A16" s="82" t="s">
        <v>20</v>
      </c>
      <c r="B16" s="83"/>
      <c r="C16" s="77"/>
      <c r="D16" s="77"/>
      <c r="E16" s="77"/>
      <c r="F16" s="77">
        <v>1000000</v>
      </c>
      <c r="G16" s="84"/>
      <c r="H16" s="86">
        <f t="shared" si="4"/>
        <v>1000000</v>
      </c>
      <c r="I16" s="80">
        <v>1000000</v>
      </c>
      <c r="J16" s="77"/>
      <c r="K16" s="77"/>
      <c r="L16" s="77"/>
      <c r="M16" s="79"/>
      <c r="N16" s="79"/>
      <c r="O16" s="79"/>
      <c r="P16" s="85">
        <f>SUM(I16:O16)</f>
        <v>1000000</v>
      </c>
      <c r="Q16" s="134">
        <f t="shared" ref="Q16:Q19" si="5">P16-I16</f>
        <v>0</v>
      </c>
      <c r="R16" s="225"/>
      <c r="S16" s="225"/>
      <c r="T16" s="225"/>
      <c r="U16" s="226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</row>
    <row r="17" spans="1:43" s="227" customFormat="1" ht="15" x14ac:dyDescent="0.25">
      <c r="A17" s="82" t="s">
        <v>33</v>
      </c>
      <c r="B17" s="83"/>
      <c r="C17" s="77"/>
      <c r="D17" s="77"/>
      <c r="E17" s="77"/>
      <c r="F17" s="77"/>
      <c r="G17" s="84">
        <v>724519</v>
      </c>
      <c r="H17" s="86">
        <f t="shared" si="4"/>
        <v>724519</v>
      </c>
      <c r="I17" s="80">
        <v>724519</v>
      </c>
      <c r="J17" s="77"/>
      <c r="K17" s="77"/>
      <c r="L17" s="77"/>
      <c r="M17" s="79"/>
      <c r="N17" s="79"/>
      <c r="O17" s="79"/>
      <c r="P17" s="85">
        <f>SUM(I17:O17)</f>
        <v>724519</v>
      </c>
      <c r="Q17" s="134">
        <f>P17-H17</f>
        <v>0</v>
      </c>
      <c r="R17" s="225"/>
      <c r="S17" s="225"/>
      <c r="T17" s="225"/>
      <c r="U17" s="226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</row>
    <row r="18" spans="1:43" s="227" customFormat="1" ht="15" x14ac:dyDescent="0.25">
      <c r="A18" s="82" t="s">
        <v>154</v>
      </c>
      <c r="B18" s="83"/>
      <c r="C18" s="77"/>
      <c r="D18" s="77"/>
      <c r="E18" s="77">
        <v>163708</v>
      </c>
      <c r="F18" s="77"/>
      <c r="G18" s="84"/>
      <c r="H18" s="86">
        <f t="shared" si="4"/>
        <v>163708</v>
      </c>
      <c r="I18" s="80">
        <v>163708</v>
      </c>
      <c r="J18" s="77"/>
      <c r="K18" s="77"/>
      <c r="L18" s="77"/>
      <c r="M18" s="79"/>
      <c r="N18" s="79"/>
      <c r="O18" s="79"/>
      <c r="P18" s="85">
        <f>SUM(I18:O18)</f>
        <v>163708</v>
      </c>
      <c r="Q18" s="134"/>
      <c r="R18" s="225"/>
      <c r="S18" s="225"/>
      <c r="T18" s="225"/>
      <c r="U18" s="226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</row>
    <row r="19" spans="1:43" s="227" customFormat="1" ht="15" x14ac:dyDescent="0.25">
      <c r="A19" s="108" t="s">
        <v>137</v>
      </c>
      <c r="B19" s="83"/>
      <c r="C19" s="77"/>
      <c r="D19" s="77"/>
      <c r="E19" s="77">
        <v>16100000</v>
      </c>
      <c r="F19" s="77"/>
      <c r="G19" s="84"/>
      <c r="H19" s="86">
        <f t="shared" si="4"/>
        <v>16100000</v>
      </c>
      <c r="I19" s="80">
        <v>16100000</v>
      </c>
      <c r="J19" s="77"/>
      <c r="K19" s="77"/>
      <c r="L19" s="77"/>
      <c r="M19" s="77"/>
      <c r="N19" s="79"/>
      <c r="O19" s="79"/>
      <c r="P19" s="85">
        <f t="shared" si="2"/>
        <v>16100000</v>
      </c>
      <c r="Q19" s="134">
        <f t="shared" si="5"/>
        <v>0</v>
      </c>
      <c r="R19" s="225"/>
      <c r="S19" s="225"/>
      <c r="T19" s="225"/>
      <c r="U19" s="226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</row>
    <row r="20" spans="1:43" s="227" customFormat="1" ht="15" x14ac:dyDescent="0.25">
      <c r="A20" s="108" t="s">
        <v>158</v>
      </c>
      <c r="B20" s="83"/>
      <c r="C20" s="77"/>
      <c r="D20" s="77"/>
      <c r="E20" s="77">
        <v>6950000</v>
      </c>
      <c r="F20" s="77"/>
      <c r="G20" s="84"/>
      <c r="H20" s="86">
        <f t="shared" si="4"/>
        <v>6950000</v>
      </c>
      <c r="I20" s="80">
        <v>6950000</v>
      </c>
      <c r="J20" s="77"/>
      <c r="K20" s="77"/>
      <c r="L20" s="77"/>
      <c r="M20" s="77"/>
      <c r="N20" s="79"/>
      <c r="O20" s="79"/>
      <c r="P20" s="85">
        <f t="shared" si="2"/>
        <v>6950000</v>
      </c>
      <c r="Q20" s="134"/>
      <c r="R20" s="225"/>
      <c r="S20" s="225"/>
      <c r="T20" s="225"/>
      <c r="U20" s="226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</row>
    <row r="21" spans="1:43" s="227" customFormat="1" ht="15.75" thickBot="1" x14ac:dyDescent="0.3">
      <c r="A21" s="199" t="s">
        <v>159</v>
      </c>
      <c r="B21" s="88"/>
      <c r="C21" s="89"/>
      <c r="D21" s="89"/>
      <c r="E21" s="89">
        <v>3136529</v>
      </c>
      <c r="F21" s="89"/>
      <c r="G21" s="90"/>
      <c r="H21" s="91">
        <f t="shared" si="4"/>
        <v>3136529</v>
      </c>
      <c r="I21" s="92">
        <v>3136529</v>
      </c>
      <c r="J21" s="89"/>
      <c r="K21" s="89"/>
      <c r="L21" s="89"/>
      <c r="M21" s="89"/>
      <c r="N21" s="184"/>
      <c r="O21" s="184"/>
      <c r="P21" s="173">
        <f t="shared" si="2"/>
        <v>3136529</v>
      </c>
      <c r="Q21" s="134"/>
      <c r="R21" s="225"/>
      <c r="S21" s="225"/>
      <c r="T21" s="225"/>
      <c r="U21" s="226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</row>
    <row r="22" spans="1:43" s="230" customFormat="1" ht="24.95" customHeight="1" thickBot="1" x14ac:dyDescent="0.3">
      <c r="A22" s="200" t="s">
        <v>7</v>
      </c>
      <c r="B22" s="194">
        <f>SUM(B12:B21)</f>
        <v>246430925</v>
      </c>
      <c r="C22" s="195">
        <f>SUM(C13:C21)</f>
        <v>32304848</v>
      </c>
      <c r="D22" s="195">
        <f>SUM(D13:D21)</f>
        <v>705618</v>
      </c>
      <c r="E22" s="195">
        <f>SUM(E14:E21)</f>
        <v>62464472</v>
      </c>
      <c r="F22" s="195">
        <f>SUM(F14:F21)</f>
        <v>1000000</v>
      </c>
      <c r="G22" s="196">
        <f>SUM(G3:G21)</f>
        <v>724519</v>
      </c>
      <c r="H22" s="197">
        <f>SUM(B22:G22)</f>
        <v>343630382</v>
      </c>
      <c r="I22" s="201">
        <f>SUM(I12:I21)</f>
        <v>223673476</v>
      </c>
      <c r="J22" s="201">
        <f t="shared" ref="J22:O22" si="6">SUM(J12:J21)</f>
        <v>23661021</v>
      </c>
      <c r="K22" s="201">
        <f t="shared" si="6"/>
        <v>25709927</v>
      </c>
      <c r="L22" s="201">
        <f t="shared" si="6"/>
        <v>20683119</v>
      </c>
      <c r="M22" s="201">
        <f t="shared" si="6"/>
        <v>11257362</v>
      </c>
      <c r="N22" s="201">
        <f t="shared" si="6"/>
        <v>6187811</v>
      </c>
      <c r="O22" s="201">
        <f t="shared" si="6"/>
        <v>32457666</v>
      </c>
      <c r="P22" s="196">
        <f>SUM(I22:O22)</f>
        <v>343630382</v>
      </c>
      <c r="Q22" s="134">
        <f>P22-H22</f>
        <v>0</v>
      </c>
      <c r="R22" s="228"/>
      <c r="S22" s="228"/>
      <c r="T22" s="228"/>
      <c r="U22" s="229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</row>
    <row r="23" spans="1:43" s="227" customFormat="1" ht="24.95" hidden="1" customHeight="1" x14ac:dyDescent="0.25">
      <c r="A23" s="231"/>
      <c r="B23" s="232"/>
      <c r="C23" s="176"/>
      <c r="D23" s="135"/>
      <c r="E23" s="117"/>
      <c r="F23" s="176"/>
      <c r="G23" s="176"/>
      <c r="H23" s="233">
        <v>317220050</v>
      </c>
      <c r="I23" s="233"/>
      <c r="J23" s="233"/>
      <c r="K23" s="233"/>
      <c r="L23" s="233"/>
      <c r="M23" s="233"/>
      <c r="N23" s="233"/>
      <c r="O23" s="233"/>
      <c r="P23" s="233">
        <v>15563147</v>
      </c>
      <c r="Q23" s="225"/>
      <c r="R23" s="225"/>
      <c r="S23" s="225"/>
      <c r="T23" s="79">
        <f>H22-P22</f>
        <v>0</v>
      </c>
      <c r="U23" s="226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</row>
    <row r="24" spans="1:43" ht="24.95" hidden="1" customHeight="1" x14ac:dyDescent="0.25">
      <c r="B24" s="209"/>
      <c r="C24" s="225"/>
      <c r="D24" s="225"/>
      <c r="E24" s="225"/>
      <c r="F24" s="225"/>
      <c r="G24" s="225"/>
      <c r="H24" s="110">
        <f>H22-H23</f>
        <v>26410332</v>
      </c>
      <c r="I24" s="110">
        <f>I12+I13-I9-I10-I11-D9-D10-C11</f>
        <v>150202041</v>
      </c>
      <c r="J24" s="110">
        <f>J12+J13</f>
        <v>23003189</v>
      </c>
      <c r="K24" s="110">
        <f t="shared" ref="K24:O24" si="7">K12+K13</f>
        <v>25058636</v>
      </c>
      <c r="L24" s="110">
        <f t="shared" si="7"/>
        <v>20113122</v>
      </c>
      <c r="M24" s="110">
        <f t="shared" si="7"/>
        <v>11122362</v>
      </c>
      <c r="N24" s="110">
        <f t="shared" si="7"/>
        <v>6142811</v>
      </c>
      <c r="O24" s="110">
        <f t="shared" si="7"/>
        <v>31366262</v>
      </c>
      <c r="P24" s="110"/>
    </row>
    <row r="25" spans="1:43" ht="24.95" hidden="1" customHeight="1" x14ac:dyDescent="0.25">
      <c r="B25" s="209"/>
      <c r="C25" s="225"/>
      <c r="D25" s="225"/>
      <c r="E25" s="225"/>
      <c r="F25" s="225"/>
      <c r="G25" s="225"/>
      <c r="H25" s="110">
        <f>E15+94634</f>
        <v>27208869</v>
      </c>
      <c r="I25" s="110">
        <f>W24</f>
        <v>0</v>
      </c>
      <c r="J25" s="110">
        <f>W25</f>
        <v>0</v>
      </c>
      <c r="K25" s="110">
        <f>W26</f>
        <v>0</v>
      </c>
      <c r="L25" s="110">
        <f>W27</f>
        <v>0</v>
      </c>
      <c r="M25" s="110">
        <f>W28</f>
        <v>0</v>
      </c>
      <c r="N25" s="110">
        <f>W29</f>
        <v>0</v>
      </c>
      <c r="O25" s="110">
        <f>W30</f>
        <v>0</v>
      </c>
      <c r="P25" s="110"/>
    </row>
    <row r="26" spans="1:43" ht="24.95" hidden="1" customHeight="1" x14ac:dyDescent="0.25">
      <c r="I26" s="236"/>
      <c r="J26" s="236"/>
      <c r="K26" s="236"/>
      <c r="L26" s="236"/>
      <c r="M26" s="236"/>
      <c r="N26" s="110"/>
      <c r="O26" s="110"/>
      <c r="P26" s="110"/>
    </row>
    <row r="27" spans="1:43" ht="24.95" customHeight="1" x14ac:dyDescent="0.25">
      <c r="I27" s="110"/>
      <c r="J27" s="110"/>
      <c r="K27" s="110"/>
      <c r="L27" s="110"/>
      <c r="M27" s="110"/>
      <c r="N27" s="110"/>
      <c r="O27" s="110"/>
      <c r="P27" s="110"/>
    </row>
  </sheetData>
  <sortState ref="A6:AQ7">
    <sortCondition ref="A6:A7"/>
  </sortState>
  <printOptions horizontalCentered="1"/>
  <pageMargins left="0.31496062992125984" right="0.31496062992125984" top="0.74803149606299213" bottom="0.74803149606299213" header="0.31496062992125984" footer="0.31496062992125984"/>
  <pageSetup paperSize="9" scale="59" orientation="landscape" r:id="rId1"/>
  <headerFooter>
    <oddHeader>&amp;LBátaszéki Közös Önkormányzati Hivatal&amp;C2025. évi költségvetési terv&amp;R1.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8"/>
  <sheetViews>
    <sheetView topLeftCell="A16" zoomScaleNormal="100" workbookViewId="0">
      <selection activeCell="C55" sqref="C55"/>
    </sheetView>
  </sheetViews>
  <sheetFormatPr defaultColWidth="8.85546875" defaultRowHeight="15" x14ac:dyDescent="0.25"/>
  <cols>
    <col min="1" max="1" width="28.5703125" style="115" bestFit="1" customWidth="1"/>
    <col min="2" max="2" width="12.85546875" style="115" bestFit="1" customWidth="1"/>
    <col min="3" max="3" width="13.7109375" style="116" customWidth="1"/>
    <col min="4" max="4" width="11" style="116" customWidth="1"/>
    <col min="5" max="5" width="12.28515625" style="116" customWidth="1"/>
    <col min="6" max="8" width="12.5703125" style="116" customWidth="1"/>
    <col min="9" max="9" width="16.140625" style="116" bestFit="1" customWidth="1"/>
    <col min="10" max="10" width="15.28515625" style="116" customWidth="1"/>
    <col min="11" max="13" width="14.28515625" style="116" bestFit="1" customWidth="1"/>
    <col min="14" max="14" width="15.7109375" style="116" customWidth="1"/>
    <col min="15" max="15" width="14.28515625" style="116" bestFit="1" customWidth="1"/>
    <col min="16" max="16" width="15.28515625" style="116" bestFit="1" customWidth="1"/>
    <col min="17" max="17" width="13" style="117" hidden="1" customWidth="1"/>
    <col min="18" max="18" width="20.140625" style="117" hidden="1" customWidth="1"/>
    <col min="19" max="19" width="19.85546875" style="117" hidden="1" customWidth="1"/>
    <col min="20" max="20" width="10.140625" style="117" bestFit="1" customWidth="1"/>
    <col min="21" max="21" width="8.85546875" style="117"/>
    <col min="22" max="22" width="12.140625" style="117" bestFit="1" customWidth="1"/>
    <col min="23" max="45" width="8.85546875" style="117"/>
    <col min="46" max="16384" width="8.85546875" style="115"/>
  </cols>
  <sheetData>
    <row r="1" spans="1:45" ht="15.75" thickBot="1" x14ac:dyDescent="0.3"/>
    <row r="2" spans="1:45" ht="47.25" customHeight="1" thickBot="1" x14ac:dyDescent="0.3">
      <c r="A2" s="145" t="s">
        <v>165</v>
      </c>
      <c r="B2" s="146" t="s">
        <v>162</v>
      </c>
      <c r="C2" s="147" t="s">
        <v>0</v>
      </c>
      <c r="D2" s="148" t="s">
        <v>4</v>
      </c>
      <c r="E2" s="149" t="s">
        <v>6</v>
      </c>
      <c r="F2" s="149" t="s">
        <v>5</v>
      </c>
      <c r="G2" s="149" t="s">
        <v>36</v>
      </c>
      <c r="H2" s="150" t="s">
        <v>143</v>
      </c>
      <c r="I2" s="151" t="s">
        <v>1</v>
      </c>
      <c r="J2" s="152" t="s">
        <v>3</v>
      </c>
      <c r="K2" s="152" t="s">
        <v>2</v>
      </c>
      <c r="L2" s="152" t="s">
        <v>35</v>
      </c>
      <c r="M2" s="149" t="s">
        <v>37</v>
      </c>
      <c r="N2" s="149" t="s">
        <v>38</v>
      </c>
      <c r="O2" s="150" t="s">
        <v>140</v>
      </c>
      <c r="P2" s="153" t="s">
        <v>7</v>
      </c>
      <c r="R2" s="118"/>
      <c r="S2" s="118"/>
      <c r="T2" s="118"/>
    </row>
    <row r="3" spans="1:45" s="124" customFormat="1" ht="28.5" customHeight="1" thickBot="1" x14ac:dyDescent="0.25">
      <c r="A3" s="160" t="s">
        <v>145</v>
      </c>
      <c r="B3" s="161">
        <v>28.49</v>
      </c>
      <c r="C3" s="162">
        <f>204410606+15563147</f>
        <v>219973753</v>
      </c>
      <c r="D3" s="163">
        <f>Arányszámok!N10</f>
        <v>0.66320584807712679</v>
      </c>
      <c r="E3" s="164">
        <f>Arányszámok!N12</f>
        <v>7.458417205212417E-2</v>
      </c>
      <c r="F3" s="164">
        <f>Arányszámok!N11</f>
        <v>7.3842568068651346E-2</v>
      </c>
      <c r="G3" s="164">
        <f>Arányszámok!N13</f>
        <v>6.4625489988346219E-2</v>
      </c>
      <c r="H3" s="165">
        <f>Arányszámok!N14</f>
        <v>0.12374192181375146</v>
      </c>
      <c r="I3" s="99">
        <f>ROUND(C3*D3,0)</f>
        <v>145887879</v>
      </c>
      <c r="J3" s="100">
        <f>C3*E3</f>
        <v>16406560.240703465</v>
      </c>
      <c r="K3" s="100">
        <f>ROUND(C3*F3,0)</f>
        <v>16243427</v>
      </c>
      <c r="L3" s="100">
        <f>ROUND(C3*G3,0)</f>
        <v>14215912</v>
      </c>
      <c r="M3" s="100"/>
      <c r="N3" s="100"/>
      <c r="O3" s="101">
        <f>(C3*H3)</f>
        <v>27219974.944803476</v>
      </c>
      <c r="P3" s="102">
        <f>SUM(I3:O3)</f>
        <v>219973753.18550694</v>
      </c>
      <c r="Q3" s="120">
        <f>P3+I18+I19</f>
        <v>262320293.18550694</v>
      </c>
      <c r="R3" s="120"/>
      <c r="S3" s="121"/>
      <c r="T3" s="121"/>
      <c r="U3" s="122"/>
      <c r="V3" s="121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5" s="124" customFormat="1" ht="28.5" customHeight="1" x14ac:dyDescent="0.2">
      <c r="A4" s="154"/>
      <c r="B4" s="155"/>
      <c r="C4" s="156"/>
      <c r="D4" s="157"/>
      <c r="E4" s="158"/>
      <c r="F4" s="158"/>
      <c r="G4" s="158"/>
      <c r="H4" s="159"/>
      <c r="I4" s="243"/>
      <c r="J4" s="158"/>
      <c r="K4" s="158"/>
      <c r="L4" s="158"/>
      <c r="M4" s="158"/>
      <c r="N4" s="158"/>
      <c r="O4" s="244"/>
      <c r="P4" s="96"/>
      <c r="Q4" s="120"/>
      <c r="R4" s="120"/>
      <c r="S4" s="121"/>
      <c r="T4" s="121"/>
      <c r="U4" s="122"/>
      <c r="V4" s="121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5" s="124" customFormat="1" ht="28.5" customHeight="1" thickBot="1" x14ac:dyDescent="0.25">
      <c r="A5" s="166"/>
      <c r="B5" s="167">
        <v>1</v>
      </c>
      <c r="C5" s="168"/>
      <c r="D5" s="169"/>
      <c r="E5" s="170"/>
      <c r="F5" s="170"/>
      <c r="G5" s="170"/>
      <c r="H5" s="171"/>
      <c r="I5" s="172"/>
      <c r="J5" s="93"/>
      <c r="K5" s="93"/>
      <c r="L5" s="93"/>
      <c r="M5" s="93"/>
      <c r="N5" s="93"/>
      <c r="O5" s="173"/>
      <c r="P5" s="91"/>
      <c r="Q5" s="123"/>
      <c r="R5" s="121"/>
      <c r="S5" s="121"/>
      <c r="T5" s="121"/>
      <c r="U5" s="122"/>
      <c r="V5" s="121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</row>
    <row r="6" spans="1:45" s="128" customFormat="1" thickBot="1" x14ac:dyDescent="0.25">
      <c r="A6" s="178" t="s">
        <v>19</v>
      </c>
      <c r="B6" s="179"/>
      <c r="C6" s="162">
        <v>724519</v>
      </c>
      <c r="D6" s="163">
        <f>Arányszámok!E3</f>
        <v>0.75686132269374928</v>
      </c>
      <c r="E6" s="164">
        <f>Arányszámok!E5</f>
        <v>8.5116672711884903E-2</v>
      </c>
      <c r="F6" s="164">
        <f>Arányszámok!E4</f>
        <v>8.4270342159351946E-2</v>
      </c>
      <c r="G6" s="164">
        <f>Arányszámok!E6</f>
        <v>7.3751662435013909E-2</v>
      </c>
      <c r="H6" s="165">
        <v>0</v>
      </c>
      <c r="I6" s="99">
        <v>548360</v>
      </c>
      <c r="J6" s="100">
        <v>61669</v>
      </c>
      <c r="K6" s="100">
        <v>61055</v>
      </c>
      <c r="L6" s="100">
        <v>53435</v>
      </c>
      <c r="M6" s="100"/>
      <c r="N6" s="100"/>
      <c r="O6" s="101"/>
      <c r="P6" s="102">
        <f>SUM(I6:O6)</f>
        <v>724519</v>
      </c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</row>
    <row r="7" spans="1:45" s="116" customFormat="1" x14ac:dyDescent="0.25">
      <c r="A7" s="174" t="s">
        <v>136</v>
      </c>
      <c r="B7" s="106"/>
      <c r="C7" s="175">
        <v>20665527</v>
      </c>
      <c r="D7" s="105"/>
      <c r="E7" s="176"/>
      <c r="F7" s="176"/>
      <c r="G7" s="176"/>
      <c r="H7" s="177"/>
      <c r="I7" s="105">
        <v>20665527</v>
      </c>
      <c r="J7" s="106"/>
      <c r="K7" s="106"/>
      <c r="L7" s="106"/>
      <c r="M7" s="106"/>
      <c r="N7" s="176"/>
      <c r="O7" s="177"/>
      <c r="P7" s="96">
        <f t="shared" ref="P7:P20" si="0">SUM(I7:O7)</f>
        <v>20665527</v>
      </c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</row>
    <row r="8" spans="1:45" s="116" customFormat="1" x14ac:dyDescent="0.25">
      <c r="A8" s="143" t="s">
        <v>160</v>
      </c>
      <c r="B8" s="77"/>
      <c r="C8" s="129">
        <v>250209</v>
      </c>
      <c r="D8" s="83"/>
      <c r="E8" s="79"/>
      <c r="F8" s="79"/>
      <c r="G8" s="79"/>
      <c r="H8" s="130"/>
      <c r="I8" s="83">
        <v>250209</v>
      </c>
      <c r="J8" s="77"/>
      <c r="K8" s="77"/>
      <c r="L8" s="77"/>
      <c r="M8" s="77"/>
      <c r="N8" s="79"/>
      <c r="O8" s="130"/>
      <c r="P8" s="86">
        <f t="shared" si="0"/>
        <v>250209</v>
      </c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</row>
    <row r="9" spans="1:45" s="116" customFormat="1" x14ac:dyDescent="0.25">
      <c r="A9" s="143" t="s">
        <v>161</v>
      </c>
      <c r="B9" s="77"/>
      <c r="C9" s="129">
        <v>1433249</v>
      </c>
      <c r="D9" s="83"/>
      <c r="E9" s="79"/>
      <c r="F9" s="79"/>
      <c r="G9" s="79"/>
      <c r="H9" s="130"/>
      <c r="I9" s="83">
        <v>1433249</v>
      </c>
      <c r="J9" s="77"/>
      <c r="K9" s="77"/>
      <c r="L9" s="77"/>
      <c r="M9" s="77"/>
      <c r="N9" s="79"/>
      <c r="O9" s="130"/>
      <c r="P9" s="86">
        <f t="shared" si="0"/>
        <v>1433249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</row>
    <row r="10" spans="1:45" s="116" customFormat="1" x14ac:dyDescent="0.25">
      <c r="A10" s="143" t="s">
        <v>171</v>
      </c>
      <c r="B10" s="77"/>
      <c r="C10" s="129">
        <v>55076</v>
      </c>
      <c r="D10" s="83"/>
      <c r="E10" s="79"/>
      <c r="F10" s="79"/>
      <c r="G10" s="79"/>
      <c r="H10" s="130"/>
      <c r="I10" s="83">
        <v>55076</v>
      </c>
      <c r="J10" s="77"/>
      <c r="K10" s="77"/>
      <c r="L10" s="77"/>
      <c r="M10" s="77"/>
      <c r="N10" s="79"/>
      <c r="O10" s="130"/>
      <c r="P10" s="86">
        <f t="shared" si="0"/>
        <v>55076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</row>
    <row r="11" spans="1:45" s="116" customFormat="1" x14ac:dyDescent="0.25">
      <c r="A11" s="143" t="s">
        <v>158</v>
      </c>
      <c r="B11" s="77"/>
      <c r="C11" s="129">
        <v>6950000</v>
      </c>
      <c r="D11" s="83"/>
      <c r="E11" s="79"/>
      <c r="F11" s="79"/>
      <c r="G11" s="79"/>
      <c r="H11" s="130"/>
      <c r="I11" s="83">
        <v>6950000</v>
      </c>
      <c r="J11" s="77"/>
      <c r="K11" s="77"/>
      <c r="L11" s="77"/>
      <c r="M11" s="77"/>
      <c r="N11" s="79"/>
      <c r="O11" s="130"/>
      <c r="P11" s="86">
        <f t="shared" si="0"/>
        <v>6950000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</row>
    <row r="12" spans="1:45" s="116" customFormat="1" x14ac:dyDescent="0.25">
      <c r="A12" s="143" t="s">
        <v>159</v>
      </c>
      <c r="B12" s="77"/>
      <c r="C12" s="129">
        <v>3136529</v>
      </c>
      <c r="D12" s="83"/>
      <c r="E12" s="79"/>
      <c r="F12" s="79"/>
      <c r="G12" s="79"/>
      <c r="H12" s="130"/>
      <c r="I12" s="83">
        <v>3136529</v>
      </c>
      <c r="J12" s="77"/>
      <c r="K12" s="77"/>
      <c r="L12" s="77"/>
      <c r="M12" s="77"/>
      <c r="N12" s="79"/>
      <c r="O12" s="130"/>
      <c r="P12" s="86">
        <f t="shared" si="0"/>
        <v>3136529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</row>
    <row r="13" spans="1:45" s="116" customFormat="1" x14ac:dyDescent="0.25">
      <c r="A13" s="143" t="s">
        <v>8</v>
      </c>
      <c r="B13" s="77"/>
      <c r="C13" s="129">
        <v>180000</v>
      </c>
      <c r="D13" s="83"/>
      <c r="E13" s="79"/>
      <c r="F13" s="79"/>
      <c r="G13" s="79"/>
      <c r="H13" s="130"/>
      <c r="I13" s="83">
        <v>180000</v>
      </c>
      <c r="J13" s="77"/>
      <c r="K13" s="77"/>
      <c r="L13" s="77"/>
      <c r="M13" s="77"/>
      <c r="N13" s="79"/>
      <c r="O13" s="130"/>
      <c r="P13" s="86">
        <f t="shared" si="0"/>
        <v>180000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</row>
    <row r="14" spans="1:45" s="116" customFormat="1" ht="30" x14ac:dyDescent="0.25">
      <c r="A14" s="143" t="s">
        <v>9</v>
      </c>
      <c r="B14" s="77"/>
      <c r="C14" s="129">
        <v>1410000</v>
      </c>
      <c r="D14" s="83"/>
      <c r="E14" s="79"/>
      <c r="F14" s="79"/>
      <c r="G14" s="79"/>
      <c r="H14" s="130"/>
      <c r="I14" s="83">
        <v>1410000</v>
      </c>
      <c r="J14" s="79"/>
      <c r="K14" s="79"/>
      <c r="L14" s="79"/>
      <c r="M14" s="79"/>
      <c r="N14" s="79"/>
      <c r="O14" s="130"/>
      <c r="P14" s="86">
        <f t="shared" si="0"/>
        <v>1410000</v>
      </c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</row>
    <row r="15" spans="1:45" s="116" customFormat="1" ht="30" x14ac:dyDescent="0.25">
      <c r="A15" s="143" t="s">
        <v>10</v>
      </c>
      <c r="B15" s="77"/>
      <c r="C15" s="129">
        <v>429300</v>
      </c>
      <c r="D15" s="83"/>
      <c r="E15" s="79"/>
      <c r="F15" s="79"/>
      <c r="G15" s="79"/>
      <c r="H15" s="130"/>
      <c r="I15" s="83">
        <v>429300</v>
      </c>
      <c r="J15" s="79"/>
      <c r="K15" s="79"/>
      <c r="L15" s="79"/>
      <c r="M15" s="79"/>
      <c r="N15" s="79"/>
      <c r="O15" s="130"/>
      <c r="P15" s="86">
        <f t="shared" si="0"/>
        <v>429300</v>
      </c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</row>
    <row r="16" spans="1:45" s="116" customFormat="1" ht="15.75" thickBot="1" x14ac:dyDescent="0.3">
      <c r="A16" s="182" t="s">
        <v>21</v>
      </c>
      <c r="B16" s="89"/>
      <c r="C16" s="183">
        <v>380807</v>
      </c>
      <c r="D16" s="88"/>
      <c r="E16" s="184"/>
      <c r="F16" s="184"/>
      <c r="G16" s="184"/>
      <c r="H16" s="185"/>
      <c r="I16" s="88">
        <v>380807</v>
      </c>
      <c r="J16" s="184"/>
      <c r="K16" s="184"/>
      <c r="L16" s="184"/>
      <c r="M16" s="184"/>
      <c r="N16" s="184"/>
      <c r="O16" s="185"/>
      <c r="P16" s="91">
        <f t="shared" si="0"/>
        <v>380807</v>
      </c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</row>
    <row r="17" spans="1:45" s="181" customFormat="1" thickBot="1" x14ac:dyDescent="0.25">
      <c r="A17" s="188" t="s">
        <v>166</v>
      </c>
      <c r="B17" s="100"/>
      <c r="C17" s="162">
        <f>SUM(C13:C16)</f>
        <v>2400107</v>
      </c>
      <c r="D17" s="99"/>
      <c r="E17" s="189"/>
      <c r="F17" s="189"/>
      <c r="G17" s="189"/>
      <c r="H17" s="190"/>
      <c r="I17" s="99">
        <f>SUM(I13:I16)</f>
        <v>2400107</v>
      </c>
      <c r="J17" s="189"/>
      <c r="K17" s="189"/>
      <c r="L17" s="189"/>
      <c r="M17" s="189"/>
      <c r="N17" s="189"/>
      <c r="O17" s="190"/>
      <c r="P17" s="102">
        <f>SUM(P13:P16)</f>
        <v>2400107</v>
      </c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</row>
    <row r="18" spans="1:45" s="116" customFormat="1" ht="30" x14ac:dyDescent="0.25">
      <c r="A18" s="186" t="s">
        <v>22</v>
      </c>
      <c r="B18" s="106"/>
      <c r="C18" s="175"/>
      <c r="D18" s="187"/>
      <c r="E18" s="176"/>
      <c r="F18" s="176"/>
      <c r="G18" s="176"/>
      <c r="H18" s="177"/>
      <c r="I18" s="105">
        <v>36346540</v>
      </c>
      <c r="J18" s="106">
        <v>8692792</v>
      </c>
      <c r="K18" s="106">
        <v>10905445</v>
      </c>
      <c r="L18" s="106">
        <v>7913772</v>
      </c>
      <c r="M18" s="106"/>
      <c r="N18" s="106"/>
      <c r="O18" s="107">
        <f>6031441+310750+395500</f>
        <v>6737691</v>
      </c>
      <c r="P18" s="96">
        <f>SUM(I18:O18)</f>
        <v>70596240</v>
      </c>
      <c r="Q18" s="131"/>
      <c r="R18" s="133">
        <f>SUM(J18:L18)</f>
        <v>27512009</v>
      </c>
      <c r="S18" s="131">
        <v>53488481</v>
      </c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</row>
    <row r="19" spans="1:45" s="116" customFormat="1" x14ac:dyDescent="0.25">
      <c r="A19" s="144" t="s">
        <v>144</v>
      </c>
      <c r="B19" s="77"/>
      <c r="C19" s="129"/>
      <c r="D19" s="132"/>
      <c r="E19" s="79"/>
      <c r="F19" s="79"/>
      <c r="G19" s="79"/>
      <c r="H19" s="130"/>
      <c r="I19" s="83">
        <v>6000000</v>
      </c>
      <c r="J19" s="77">
        <v>-1500000</v>
      </c>
      <c r="K19" s="77">
        <v>-1500000</v>
      </c>
      <c r="L19" s="77">
        <v>-1500000</v>
      </c>
      <c r="M19" s="79"/>
      <c r="N19" s="79"/>
      <c r="O19" s="84">
        <v>-1500000</v>
      </c>
      <c r="P19" s="86">
        <f>SUM(I19:O19)</f>
        <v>0</v>
      </c>
      <c r="Q19" s="131"/>
      <c r="R19" s="133">
        <f>SUM(J19:L19)</f>
        <v>-4500000</v>
      </c>
      <c r="S19" s="131">
        <v>-44988623</v>
      </c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</row>
    <row r="20" spans="1:45" s="116" customFormat="1" ht="30" x14ac:dyDescent="0.25">
      <c r="A20" s="144" t="s">
        <v>23</v>
      </c>
      <c r="B20" s="77"/>
      <c r="C20" s="129"/>
      <c r="D20" s="132"/>
      <c r="E20" s="79"/>
      <c r="F20" s="79"/>
      <c r="G20" s="79"/>
      <c r="H20" s="130"/>
      <c r="I20" s="132"/>
      <c r="J20" s="79"/>
      <c r="K20" s="79"/>
      <c r="L20" s="79"/>
      <c r="M20" s="77">
        <v>11257362</v>
      </c>
      <c r="N20" s="77">
        <v>6187811</v>
      </c>
      <c r="O20" s="84"/>
      <c r="P20" s="86">
        <f t="shared" si="0"/>
        <v>17445173</v>
      </c>
      <c r="Q20" s="131"/>
      <c r="R20" s="135">
        <f>P20</f>
        <v>17445173</v>
      </c>
      <c r="S20" s="131">
        <f>SUM(S18:S19)</f>
        <v>8499858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</row>
    <row r="21" spans="1:45" s="113" customFormat="1" ht="30" thickBot="1" x14ac:dyDescent="0.3">
      <c r="A21" s="191" t="s">
        <v>157</v>
      </c>
      <c r="B21" s="192"/>
      <c r="C21" s="193"/>
      <c r="D21" s="88"/>
      <c r="E21" s="89"/>
      <c r="F21" s="89"/>
      <c r="G21" s="89"/>
      <c r="H21" s="90"/>
      <c r="I21" s="172">
        <f>I18+I19</f>
        <v>42346540</v>
      </c>
      <c r="J21" s="93">
        <f t="shared" ref="J21:O21" si="1">J18+J19</f>
        <v>7192792</v>
      </c>
      <c r="K21" s="93">
        <f t="shared" si="1"/>
        <v>9405445</v>
      </c>
      <c r="L21" s="93">
        <f t="shared" si="1"/>
        <v>6413772</v>
      </c>
      <c r="M21" s="93"/>
      <c r="N21" s="93"/>
      <c r="O21" s="173">
        <f t="shared" si="1"/>
        <v>5237691</v>
      </c>
      <c r="P21" s="91">
        <f>SUM(I21:O21)</f>
        <v>70596240</v>
      </c>
      <c r="Q21" s="137">
        <v>14661176</v>
      </c>
      <c r="R21" s="138">
        <f>SUM(R18:R20)</f>
        <v>40457182</v>
      </c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</row>
    <row r="22" spans="1:45" s="140" customFormat="1" ht="30" customHeight="1" thickBot="1" x14ac:dyDescent="0.25">
      <c r="A22" s="238" t="s">
        <v>11</v>
      </c>
      <c r="B22" s="239"/>
      <c r="C22" s="239"/>
      <c r="D22" s="239"/>
      <c r="E22" s="239"/>
      <c r="F22" s="239"/>
      <c r="G22" s="239"/>
      <c r="H22" s="240"/>
      <c r="I22" s="195">
        <f>I3+I6+I7+I8+I9+I10+I11+I12+I13+I14+I15+I16+I18+I19</f>
        <v>223673476</v>
      </c>
      <c r="J22" s="195">
        <f>SUM(J3:J20)</f>
        <v>23661021.240703464</v>
      </c>
      <c r="K22" s="195">
        <f t="shared" ref="K22:O22" si="2">SUM(K3:K20)</f>
        <v>25709927</v>
      </c>
      <c r="L22" s="195">
        <f t="shared" si="2"/>
        <v>20683119</v>
      </c>
      <c r="M22" s="195">
        <f t="shared" si="2"/>
        <v>11257362</v>
      </c>
      <c r="N22" s="195">
        <f t="shared" si="2"/>
        <v>6187811</v>
      </c>
      <c r="O22" s="195">
        <f t="shared" si="2"/>
        <v>32457665.944803476</v>
      </c>
      <c r="P22" s="197">
        <f>SUM(P3:P16)+P18+P20+P19</f>
        <v>343630382.18550694</v>
      </c>
      <c r="Q22" s="139">
        <f>SUM(I22:O22)</f>
        <v>343630382.18550694</v>
      </c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</row>
    <row r="23" spans="1:45" s="127" customFormat="1" thickBot="1" x14ac:dyDescent="0.25"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27">
        <v>41847600</v>
      </c>
    </row>
    <row r="24" spans="1:45" s="113" customFormat="1" ht="28.5" customHeight="1" thickBot="1" x14ac:dyDescent="0.3">
      <c r="A24" s="238" t="s">
        <v>24</v>
      </c>
      <c r="B24" s="239"/>
      <c r="C24" s="239"/>
      <c r="D24" s="239"/>
      <c r="E24" s="239"/>
      <c r="F24" s="239"/>
      <c r="G24" s="239"/>
      <c r="H24" s="241"/>
      <c r="I24" s="195">
        <f>'1.mell.Kiadások'!I22</f>
        <v>223673476</v>
      </c>
      <c r="J24" s="195">
        <f>'1.mell.Kiadások'!J22</f>
        <v>23661021</v>
      </c>
      <c r="K24" s="195">
        <f>'1.mell.Kiadások'!K22</f>
        <v>25709927</v>
      </c>
      <c r="L24" s="195">
        <f>'1.mell.Kiadások'!L22</f>
        <v>20683119</v>
      </c>
      <c r="M24" s="195">
        <f>'1.mell.Kiadások'!M22</f>
        <v>11257362</v>
      </c>
      <c r="N24" s="195">
        <f>'1.mell.Kiadások'!N22</f>
        <v>6187811</v>
      </c>
      <c r="O24" s="195">
        <f>'1.mell.Kiadások'!O22</f>
        <v>32457666</v>
      </c>
      <c r="P24" s="196">
        <f>SUM(I24:O24)</f>
        <v>343630382</v>
      </c>
      <c r="Q24" s="138">
        <f>P24-316025416</f>
        <v>27604966</v>
      </c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</row>
    <row r="25" spans="1:45" s="137" customFormat="1" x14ac:dyDescent="0.25">
      <c r="A25" s="115"/>
      <c r="B25" s="142"/>
      <c r="C25" s="142"/>
      <c r="D25" s="142"/>
      <c r="E25" s="142"/>
      <c r="F25" s="142"/>
      <c r="G25" s="142"/>
      <c r="H25" s="142"/>
      <c r="I25" s="138"/>
      <c r="J25" s="138"/>
      <c r="K25" s="138"/>
      <c r="L25" s="138"/>
      <c r="M25" s="138"/>
      <c r="N25" s="138"/>
      <c r="O25" s="138"/>
    </row>
    <row r="26" spans="1:45" s="123" customFormat="1" hidden="1" x14ac:dyDescent="0.25">
      <c r="A26" s="123" t="s">
        <v>167</v>
      </c>
      <c r="B26" s="142"/>
      <c r="C26" s="142"/>
      <c r="D26" s="142"/>
      <c r="E26" s="142"/>
      <c r="F26" s="142"/>
      <c r="G26" s="142"/>
      <c r="H26" s="142"/>
      <c r="I26" s="141">
        <f t="shared" ref="I26:P26" si="3">I22-I24</f>
        <v>0</v>
      </c>
      <c r="J26" s="141">
        <f t="shared" si="3"/>
        <v>0.24070346355438232</v>
      </c>
      <c r="K26" s="141">
        <f t="shared" si="3"/>
        <v>0</v>
      </c>
      <c r="L26" s="141">
        <f t="shared" si="3"/>
        <v>0</v>
      </c>
      <c r="M26" s="141">
        <f t="shared" si="3"/>
        <v>0</v>
      </c>
      <c r="N26" s="141">
        <f t="shared" si="3"/>
        <v>0</v>
      </c>
      <c r="O26" s="141">
        <f t="shared" si="3"/>
        <v>-5.5196523666381836E-2</v>
      </c>
      <c r="P26" s="141">
        <f t="shared" si="3"/>
        <v>0.18550693988800049</v>
      </c>
    </row>
    <row r="27" spans="1:45" s="123" customFormat="1" hidden="1" x14ac:dyDescent="0.25">
      <c r="A27" s="142"/>
      <c r="B27" s="142"/>
      <c r="C27" s="142"/>
      <c r="D27" s="142"/>
      <c r="E27" s="142"/>
      <c r="F27" s="142"/>
      <c r="G27" s="142"/>
      <c r="H27" s="142"/>
      <c r="I27" s="141">
        <f>I26/1.13</f>
        <v>0</v>
      </c>
      <c r="J27" s="141">
        <f t="shared" ref="J27:O27" si="4">J26/1.13</f>
        <v>0.21301191464989588</v>
      </c>
      <c r="K27" s="141">
        <f t="shared" si="4"/>
        <v>0</v>
      </c>
      <c r="L27" s="141">
        <f t="shared" si="4"/>
        <v>0</v>
      </c>
      <c r="M27" s="141">
        <f t="shared" si="4"/>
        <v>0</v>
      </c>
      <c r="N27" s="141">
        <f t="shared" si="4"/>
        <v>0</v>
      </c>
      <c r="O27" s="141">
        <f t="shared" si="4"/>
        <v>-4.8846481120691898E-2</v>
      </c>
      <c r="P27" s="141">
        <f>I27+J27+K27+L27+O27</f>
        <v>0.16416543352920399</v>
      </c>
    </row>
    <row r="28" spans="1:45" s="123" customFormat="1" hidden="1" x14ac:dyDescent="0.25">
      <c r="A28" s="142"/>
      <c r="B28" s="142"/>
      <c r="C28" s="142"/>
      <c r="D28" s="142"/>
      <c r="E28" s="142"/>
      <c r="F28" s="142"/>
      <c r="G28" s="142"/>
      <c r="H28" s="142"/>
      <c r="I28" s="141">
        <f>I26-I27</f>
        <v>0</v>
      </c>
      <c r="J28" s="141">
        <f t="shared" ref="J28:O28" si="5">J26-J27</f>
        <v>2.769154890448644E-2</v>
      </c>
      <c r="K28" s="141">
        <f t="shared" si="5"/>
        <v>0</v>
      </c>
      <c r="L28" s="141">
        <f t="shared" si="5"/>
        <v>0</v>
      </c>
      <c r="M28" s="141">
        <f t="shared" si="5"/>
        <v>0</v>
      </c>
      <c r="N28" s="141">
        <f t="shared" si="5"/>
        <v>0</v>
      </c>
      <c r="O28" s="141">
        <f t="shared" si="5"/>
        <v>-6.3500425456899379E-3</v>
      </c>
      <c r="P28" s="141">
        <f>SUM(I28:O28)</f>
        <v>2.1341506358796503E-2</v>
      </c>
    </row>
    <row r="29" spans="1:45" s="123" customFormat="1" hidden="1" x14ac:dyDescent="0.25">
      <c r="A29" s="123" t="s">
        <v>168</v>
      </c>
      <c r="B29" s="142"/>
      <c r="C29" s="139">
        <f>C6+C7+C8+C9</f>
        <v>23073504</v>
      </c>
      <c r="D29" s="142"/>
      <c r="E29" s="142"/>
      <c r="F29" s="142"/>
      <c r="G29" s="142"/>
      <c r="H29" s="142"/>
      <c r="I29" s="141"/>
      <c r="J29" s="141"/>
      <c r="K29" s="141"/>
      <c r="L29" s="141"/>
      <c r="M29" s="141"/>
      <c r="N29" s="141"/>
      <c r="O29" s="141"/>
      <c r="P29" s="141"/>
    </row>
    <row r="30" spans="1:45" s="117" customFormat="1" hidden="1" x14ac:dyDescent="0.25">
      <c r="A30" s="142"/>
      <c r="B30" s="142"/>
      <c r="C30" s="142"/>
      <c r="D30" s="142"/>
      <c r="E30" s="142"/>
      <c r="F30" s="142"/>
      <c r="G30" s="142"/>
      <c r="H30" s="142"/>
      <c r="I30" s="135"/>
      <c r="J30" s="135"/>
      <c r="K30" s="135"/>
      <c r="L30" s="135"/>
      <c r="M30" s="131"/>
      <c r="N30" s="131"/>
      <c r="O30" s="131"/>
      <c r="P30" s="131"/>
    </row>
    <row r="31" spans="1:45" s="123" customFormat="1" hidden="1" x14ac:dyDescent="0.25">
      <c r="A31" s="123" t="s">
        <v>169</v>
      </c>
      <c r="C31" s="141"/>
      <c r="D31" s="141"/>
      <c r="E31" s="142"/>
      <c r="F31" s="142"/>
      <c r="G31" s="142"/>
      <c r="H31" s="142"/>
      <c r="I31" s="119">
        <f>I22/P22</f>
        <v>0.65091297974709095</v>
      </c>
      <c r="J31" s="119">
        <f>J22/P22</f>
        <v>6.8856022247561904E-2</v>
      </c>
      <c r="K31" s="119">
        <f>K22/P22</f>
        <v>7.4818550200606654E-2</v>
      </c>
      <c r="L31" s="119">
        <f>L22/P22</f>
        <v>6.0190018322752191E-2</v>
      </c>
      <c r="M31" s="119">
        <f>M22/P22</f>
        <v>3.2760089280821442E-2</v>
      </c>
      <c r="N31" s="119">
        <f>N22/P22</f>
        <v>1.8007170846318078E-2</v>
      </c>
      <c r="O31" s="119">
        <f>O22/P22</f>
        <v>9.4455169354848795E-2</v>
      </c>
      <c r="P31" s="119">
        <f>SUM(I31:O31)</f>
        <v>1</v>
      </c>
    </row>
    <row r="32" spans="1:45" s="117" customFormat="1" hidden="1" x14ac:dyDescent="0.25">
      <c r="C32" s="135"/>
      <c r="D32" s="142"/>
      <c r="E32" s="142"/>
      <c r="F32" s="142"/>
      <c r="G32" s="142"/>
      <c r="H32" s="142"/>
      <c r="I32" s="135"/>
      <c r="J32" s="135"/>
      <c r="K32" s="135"/>
      <c r="L32" s="135"/>
      <c r="M32" s="131"/>
      <c r="N32" s="131"/>
      <c r="O32" s="131"/>
      <c r="P32" s="131"/>
    </row>
    <row r="33" spans="1:16" s="127" customFormat="1" hidden="1" x14ac:dyDescent="0.25">
      <c r="A33" s="127" t="s">
        <v>170</v>
      </c>
      <c r="C33" s="139"/>
      <c r="D33" s="142"/>
      <c r="E33" s="142"/>
      <c r="F33" s="142"/>
      <c r="G33" s="142"/>
      <c r="H33" s="142"/>
      <c r="I33" s="78">
        <f>I18-I26</f>
        <v>36346540</v>
      </c>
      <c r="J33" s="78">
        <f>J18-J26</f>
        <v>8692791.7592965364</v>
      </c>
      <c r="K33" s="78">
        <f>K18-K26</f>
        <v>10905445</v>
      </c>
      <c r="L33" s="78">
        <f>L18-L26</f>
        <v>7913772</v>
      </c>
      <c r="M33" s="78">
        <f>M20-M26</f>
        <v>11257362</v>
      </c>
      <c r="N33" s="78">
        <f>N20-N26</f>
        <v>6187811</v>
      </c>
      <c r="O33" s="78">
        <f>O18-O26</f>
        <v>6737691.0551965237</v>
      </c>
      <c r="P33" s="78"/>
    </row>
    <row r="34" spans="1:16" s="117" customFormat="1" hidden="1" x14ac:dyDescent="0.25">
      <c r="A34" s="142"/>
      <c r="B34" s="142"/>
      <c r="C34" s="142"/>
      <c r="D34" s="142"/>
      <c r="E34" s="142"/>
      <c r="F34" s="142"/>
      <c r="G34" s="142"/>
      <c r="H34" s="142"/>
      <c r="I34" s="135"/>
      <c r="J34" s="135"/>
      <c r="K34" s="135"/>
      <c r="L34" s="135"/>
      <c r="M34" s="131"/>
      <c r="N34" s="131"/>
      <c r="O34" s="131"/>
      <c r="P34" s="131"/>
    </row>
    <row r="35" spans="1:16" hidden="1" x14ac:dyDescent="0.25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</row>
    <row r="36" spans="1:16" hidden="1" x14ac:dyDescent="0.25">
      <c r="C36" s="142"/>
      <c r="D36" s="142"/>
      <c r="E36" s="142"/>
      <c r="F36" s="142"/>
      <c r="G36" s="142"/>
      <c r="H36" s="142"/>
      <c r="I36" s="142"/>
      <c r="J36" s="142"/>
      <c r="K36" s="142"/>
      <c r="L36" s="142"/>
    </row>
    <row r="37" spans="1:16" hidden="1" x14ac:dyDescent="0.25"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O37" s="142"/>
      <c r="P37" s="142"/>
    </row>
    <row r="38" spans="1:16" hidden="1" x14ac:dyDescent="0.25">
      <c r="A38" s="237" t="s">
        <v>163</v>
      </c>
      <c r="B38" s="237"/>
      <c r="C38" s="237"/>
      <c r="D38" s="237"/>
      <c r="E38" s="237"/>
      <c r="F38" s="237"/>
      <c r="G38" s="237"/>
      <c r="H38" s="237"/>
      <c r="I38" s="112">
        <f>P3+I18+I19</f>
        <v>262320293.18550694</v>
      </c>
      <c r="J38" s="142"/>
      <c r="K38" s="142"/>
      <c r="L38" s="142"/>
    </row>
    <row r="39" spans="1:16" hidden="1" x14ac:dyDescent="0.25">
      <c r="A39" s="113"/>
      <c r="B39" s="113"/>
      <c r="C39" s="114"/>
      <c r="D39" s="114"/>
      <c r="E39" s="114"/>
      <c r="F39" s="114"/>
      <c r="G39" s="114"/>
      <c r="H39" s="114"/>
      <c r="I39" s="112"/>
      <c r="J39" s="142"/>
      <c r="K39" s="142"/>
      <c r="L39" s="142"/>
    </row>
    <row r="40" spans="1:16" hidden="1" x14ac:dyDescent="0.25">
      <c r="A40" s="237" t="s">
        <v>164</v>
      </c>
      <c r="B40" s="237"/>
      <c r="C40" s="237"/>
      <c r="D40" s="237"/>
      <c r="E40" s="237"/>
      <c r="F40" s="237"/>
      <c r="G40" s="237"/>
      <c r="H40" s="237"/>
      <c r="I40" s="112">
        <f>J21+K21+L21+M20+N20+O21+I11+I12+55076</f>
        <v>55836478</v>
      </c>
      <c r="J40" s="142"/>
      <c r="K40" s="142"/>
      <c r="L40" s="142"/>
    </row>
    <row r="41" spans="1:16" hidden="1" x14ac:dyDescent="0.25"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16" x14ac:dyDescent="0.25"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6" x14ac:dyDescent="0.25"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6" x14ac:dyDescent="0.25"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6" x14ac:dyDescent="0.25"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6" x14ac:dyDescent="0.25"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6" x14ac:dyDescent="0.25"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6" x14ac:dyDescent="0.25"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</sheetData>
  <mergeCells count="4">
    <mergeCell ref="A38:H38"/>
    <mergeCell ref="A40:H40"/>
    <mergeCell ref="A22:H22"/>
    <mergeCell ref="A24:H2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&amp;LBátaszéki Közös Önkormányzati Hivatal&amp;C2025. évi költségvetési terv&amp;R2. melléklet</oddHead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opLeftCell="B1" zoomScaleNormal="100" workbookViewId="0">
      <selection activeCell="S7" sqref="S7"/>
    </sheetView>
  </sheetViews>
  <sheetFormatPr defaultColWidth="9.140625" defaultRowHeight="12.75" x14ac:dyDescent="0.2"/>
  <cols>
    <col min="1" max="4" width="9.140625" style="42"/>
    <col min="5" max="5" width="19.7109375" style="42" bestFit="1" customWidth="1"/>
    <col min="6" max="10" width="9.140625" style="42"/>
    <col min="11" max="11" width="14.28515625" style="42" customWidth="1"/>
    <col min="12" max="12" width="10" style="42" bestFit="1" customWidth="1"/>
    <col min="13" max="13" width="9.140625" style="42"/>
    <col min="14" max="14" width="13.28515625" style="42" bestFit="1" customWidth="1"/>
    <col min="15" max="15" width="13.7109375" style="42" customWidth="1"/>
    <col min="16" max="16" width="10.85546875" style="42" bestFit="1" customWidth="1"/>
    <col min="17" max="18" width="9.140625" style="42"/>
    <col min="19" max="19" width="9.5703125" style="42" bestFit="1" customWidth="1"/>
    <col min="20" max="16384" width="9.140625" style="42"/>
  </cols>
  <sheetData>
    <row r="2" spans="2:20" ht="38.25" x14ac:dyDescent="0.2">
      <c r="B2" s="42" t="s">
        <v>139</v>
      </c>
      <c r="E2" s="42" t="s">
        <v>142</v>
      </c>
      <c r="G2" s="44" t="s">
        <v>138</v>
      </c>
      <c r="K2" s="42">
        <v>179172578</v>
      </c>
    </row>
    <row r="3" spans="2:20" x14ac:dyDescent="0.2">
      <c r="B3" s="42" t="s">
        <v>1</v>
      </c>
      <c r="D3" s="42">
        <v>6260</v>
      </c>
      <c r="E3" s="46">
        <f>D3/D7</f>
        <v>0.75686132269374928</v>
      </c>
      <c r="F3" s="42">
        <v>26</v>
      </c>
      <c r="G3" s="43">
        <f>E3*F3/100</f>
        <v>0.19678394390037482</v>
      </c>
      <c r="H3" s="42">
        <v>75.585004775549194</v>
      </c>
      <c r="K3" s="42">
        <f>+ROUND($K$2*E3/100,0)+1</f>
        <v>1356089</v>
      </c>
      <c r="Q3" s="42" t="s">
        <v>156</v>
      </c>
      <c r="S3" s="42">
        <v>724519</v>
      </c>
    </row>
    <row r="4" spans="2:20" x14ac:dyDescent="0.2">
      <c r="B4" s="42" t="s">
        <v>2</v>
      </c>
      <c r="D4" s="42">
        <v>697</v>
      </c>
      <c r="E4" s="45">
        <f>D4/D7</f>
        <v>8.4270342159351946E-2</v>
      </c>
      <c r="F4" s="42">
        <v>26</v>
      </c>
      <c r="G4" s="43">
        <f t="shared" ref="G4:G6" si="0">E4*F4/100</f>
        <v>2.1910288961431504E-2</v>
      </c>
      <c r="H4" s="42">
        <v>8.6437440305635143</v>
      </c>
      <c r="K4" s="42">
        <f t="shared" ref="K4:K6" si="1">+ROUND($K$2*E4/100,0)</f>
        <v>150989</v>
      </c>
      <c r="Q4" s="42" t="s">
        <v>1</v>
      </c>
      <c r="S4" s="47">
        <f>S3*E3</f>
        <v>548360.40865675255</v>
      </c>
      <c r="T4" s="42">
        <f>S3*E3</f>
        <v>548360.40865675255</v>
      </c>
    </row>
    <row r="5" spans="2:20" x14ac:dyDescent="0.2">
      <c r="B5" s="42" t="s">
        <v>3</v>
      </c>
      <c r="D5" s="42">
        <v>704</v>
      </c>
      <c r="E5" s="45">
        <f>D5/D7</f>
        <v>8.5116672711884903E-2</v>
      </c>
      <c r="F5" s="42">
        <v>26</v>
      </c>
      <c r="G5" s="43">
        <f t="shared" si="0"/>
        <v>2.2130334905090074E-2</v>
      </c>
      <c r="H5" s="42">
        <v>8.4765998089780332</v>
      </c>
      <c r="K5" s="42">
        <f t="shared" si="1"/>
        <v>152506</v>
      </c>
      <c r="Q5" s="42" t="s">
        <v>2</v>
      </c>
      <c r="S5" s="47">
        <f>S3*E4</f>
        <v>61055.464030951516</v>
      </c>
      <c r="T5" s="42">
        <f>S3*E4</f>
        <v>61055.464030951516</v>
      </c>
    </row>
    <row r="6" spans="2:20" x14ac:dyDescent="0.2">
      <c r="B6" s="42" t="s">
        <v>35</v>
      </c>
      <c r="D6" s="42">
        <v>610</v>
      </c>
      <c r="E6" s="45">
        <f>D6/D7</f>
        <v>7.3751662435013909E-2</v>
      </c>
      <c r="F6" s="42">
        <v>26</v>
      </c>
      <c r="G6" s="43">
        <f t="shared" si="0"/>
        <v>1.9175432233103615E-2</v>
      </c>
      <c r="H6" s="42">
        <v>7.2946513849092645</v>
      </c>
      <c r="K6" s="42">
        <f t="shared" si="1"/>
        <v>132143</v>
      </c>
      <c r="L6" s="42">
        <f>SUM(K3:K6)</f>
        <v>1791727</v>
      </c>
      <c r="Q6" s="42" t="s">
        <v>3</v>
      </c>
      <c r="S6" s="47">
        <f>S3*E5</f>
        <v>61668.646596542138</v>
      </c>
      <c r="T6" s="42">
        <f>S3*E5</f>
        <v>61668.646596542138</v>
      </c>
    </row>
    <row r="7" spans="2:20" x14ac:dyDescent="0.2">
      <c r="B7" s="42" t="s">
        <v>7</v>
      </c>
      <c r="D7" s="42">
        <f>SUM(D3:D6)</f>
        <v>8271</v>
      </c>
      <c r="E7" s="45">
        <f>SUM(E3:E6)</f>
        <v>1</v>
      </c>
      <c r="G7" s="43">
        <f>SUM(G3:G6)</f>
        <v>0.26000000000000006</v>
      </c>
      <c r="H7" s="42">
        <f>SUM(H3:H6)</f>
        <v>100</v>
      </c>
      <c r="Q7" s="42" t="s">
        <v>35</v>
      </c>
      <c r="S7" s="47">
        <f>S3*E6</f>
        <v>53434.480715753845</v>
      </c>
      <c r="T7" s="42">
        <f>S3*E6</f>
        <v>53434.480715753845</v>
      </c>
    </row>
    <row r="8" spans="2:20" x14ac:dyDescent="0.2">
      <c r="S8" s="47"/>
    </row>
    <row r="9" spans="2:20" x14ac:dyDescent="0.2">
      <c r="B9" s="42" t="s">
        <v>134</v>
      </c>
      <c r="O9" s="42">
        <v>204410606</v>
      </c>
    </row>
    <row r="10" spans="2:20" x14ac:dyDescent="0.2">
      <c r="B10" s="42" t="s">
        <v>1</v>
      </c>
      <c r="D10" s="42">
        <v>6.38</v>
      </c>
      <c r="E10" s="43">
        <f>D10*E3/100</f>
        <v>4.8287752387861198E-2</v>
      </c>
      <c r="H10" s="42" t="s">
        <v>149</v>
      </c>
      <c r="K10" s="48" t="s">
        <v>1</v>
      </c>
      <c r="L10" s="48"/>
      <c r="M10" s="48">
        <v>6260</v>
      </c>
      <c r="N10" s="49">
        <f>M10/M15</f>
        <v>0.66320584807712679</v>
      </c>
      <c r="O10" s="47">
        <f>O9*N10</f>
        <v>135566309.30818942</v>
      </c>
    </row>
    <row r="11" spans="2:20" x14ac:dyDescent="0.2">
      <c r="B11" s="42" t="s">
        <v>2</v>
      </c>
      <c r="D11" s="42">
        <v>6.38</v>
      </c>
      <c r="E11" s="43">
        <f>D11*E4/100</f>
        <v>5.3764478297666542E-3</v>
      </c>
      <c r="K11" s="48" t="s">
        <v>2</v>
      </c>
      <c r="L11" s="48"/>
      <c r="M11" s="48">
        <v>697</v>
      </c>
      <c r="N11" s="49">
        <f>M11/M15</f>
        <v>7.3842568068651346E-2</v>
      </c>
      <c r="O11" s="47">
        <f>O9*N11</f>
        <v>15094204.087509271</v>
      </c>
    </row>
    <row r="12" spans="2:20" x14ac:dyDescent="0.2">
      <c r="B12" s="42" t="s">
        <v>3</v>
      </c>
      <c r="D12" s="42">
        <v>6.38</v>
      </c>
      <c r="E12" s="43">
        <f>D12*E5/100</f>
        <v>5.4304437190182565E-3</v>
      </c>
      <c r="K12" s="48" t="s">
        <v>3</v>
      </c>
      <c r="L12" s="48"/>
      <c r="M12" s="48">
        <v>704</v>
      </c>
      <c r="N12" s="49">
        <f>M12/M15</f>
        <v>7.458417205212417E-2</v>
      </c>
      <c r="O12" s="47">
        <f>O9*N12</f>
        <v>15245795.807182966</v>
      </c>
    </row>
    <row r="13" spans="2:20" x14ac:dyDescent="0.2">
      <c r="B13" s="42" t="s">
        <v>35</v>
      </c>
      <c r="D13" s="42">
        <v>6.38</v>
      </c>
      <c r="E13" s="43">
        <f t="shared" ref="E13" si="2">D13*E6/100</f>
        <v>4.7053560633538872E-3</v>
      </c>
      <c r="K13" s="48" t="s">
        <v>35</v>
      </c>
      <c r="L13" s="48"/>
      <c r="M13" s="48">
        <v>610</v>
      </c>
      <c r="N13" s="49">
        <f>M13/M15</f>
        <v>6.4625489988346219E-2</v>
      </c>
      <c r="O13" s="47">
        <f>O9*N13</f>
        <v>13210135.571564784</v>
      </c>
    </row>
    <row r="14" spans="2:20" x14ac:dyDescent="0.2">
      <c r="B14" s="42" t="s">
        <v>7</v>
      </c>
      <c r="E14" s="43">
        <f>SUM(E10:E13)</f>
        <v>6.3799999999999996E-2</v>
      </c>
      <c r="K14" s="48" t="s">
        <v>140</v>
      </c>
      <c r="L14" s="48"/>
      <c r="M14" s="48">
        <v>1168</v>
      </c>
      <c r="N14" s="49">
        <f>M14/M15</f>
        <v>0.12374192181375146</v>
      </c>
      <c r="O14" s="47">
        <f>O9*N14</f>
        <v>25294161.225553554</v>
      </c>
    </row>
    <row r="15" spans="2:20" x14ac:dyDescent="0.2">
      <c r="E15" s="43"/>
      <c r="K15" s="48" t="s">
        <v>0</v>
      </c>
      <c r="L15" s="48"/>
      <c r="M15" s="48">
        <f>SUM(M10:M14)</f>
        <v>9439</v>
      </c>
      <c r="N15" s="49">
        <f>SUM(N10:N14)</f>
        <v>1</v>
      </c>
      <c r="O15" s="47"/>
      <c r="P15" s="47">
        <f>SUM(O10:O14)</f>
        <v>204410606</v>
      </c>
    </row>
    <row r="16" spans="2:20" x14ac:dyDescent="0.2">
      <c r="B16" s="42" t="s">
        <v>135</v>
      </c>
      <c r="K16" s="42" t="s">
        <v>13</v>
      </c>
      <c r="N16" s="45"/>
      <c r="O16" s="42">
        <v>1.5</v>
      </c>
    </row>
    <row r="17" spans="2:15" x14ac:dyDescent="0.2">
      <c r="B17" s="42" t="s">
        <v>1</v>
      </c>
      <c r="E17" s="43">
        <f>E3-E10</f>
        <v>0.70857357030588808</v>
      </c>
      <c r="K17" s="42" t="s">
        <v>150</v>
      </c>
      <c r="O17" s="42">
        <v>0.5</v>
      </c>
    </row>
    <row r="18" spans="2:15" x14ac:dyDescent="0.2">
      <c r="B18" s="42" t="s">
        <v>2</v>
      </c>
      <c r="E18" s="43">
        <f>E4-E11</f>
        <v>7.8893894329585296E-2</v>
      </c>
      <c r="O18" s="42">
        <f>SUM(O10:O17)</f>
        <v>204410608</v>
      </c>
    </row>
    <row r="19" spans="2:15" x14ac:dyDescent="0.2">
      <c r="B19" s="42" t="s">
        <v>3</v>
      </c>
      <c r="E19" s="43">
        <f>E5-E12</f>
        <v>7.9686228992866648E-2</v>
      </c>
    </row>
    <row r="20" spans="2:15" x14ac:dyDescent="0.2">
      <c r="B20" s="42" t="s">
        <v>35</v>
      </c>
      <c r="E20" s="43">
        <f>E6-E13</f>
        <v>6.9046306371660024E-2</v>
      </c>
    </row>
    <row r="22" spans="2:15" x14ac:dyDescent="0.2">
      <c r="K22" s="42" t="s">
        <v>151</v>
      </c>
    </row>
    <row r="23" spans="2:15" ht="15" x14ac:dyDescent="0.25">
      <c r="B23" s="42" t="s">
        <v>146</v>
      </c>
      <c r="E23" s="47">
        <v>9000000</v>
      </c>
      <c r="H23" s="42" t="s">
        <v>1</v>
      </c>
      <c r="I23" s="47">
        <f>E27*N10</f>
        <v>5849475.5800402584</v>
      </c>
      <c r="K23" s="1">
        <v>5940000</v>
      </c>
      <c r="L23" s="47">
        <f>I23-K23</f>
        <v>-90524.419959741645</v>
      </c>
    </row>
    <row r="24" spans="2:15" ht="15" x14ac:dyDescent="0.25">
      <c r="B24" s="42" t="s">
        <v>147</v>
      </c>
      <c r="H24" s="42" t="s">
        <v>2</v>
      </c>
      <c r="I24" s="47">
        <f>E27*N11</f>
        <v>651291.45036550483</v>
      </c>
      <c r="K24" s="1">
        <v>630000</v>
      </c>
      <c r="L24" s="47">
        <f t="shared" ref="L24:L27" si="3">I24-K24</f>
        <v>21291.450365504832</v>
      </c>
    </row>
    <row r="25" spans="2:15" x14ac:dyDescent="0.2">
      <c r="B25" s="42" t="s">
        <v>13</v>
      </c>
      <c r="E25" s="47">
        <v>135000</v>
      </c>
      <c r="F25" s="42">
        <v>135000</v>
      </c>
      <c r="H25" s="42" t="s">
        <v>3</v>
      </c>
      <c r="I25" s="47">
        <f>E27*N12</f>
        <v>657832.39749973523</v>
      </c>
      <c r="K25" s="42">
        <v>630000</v>
      </c>
      <c r="L25" s="47">
        <f t="shared" si="3"/>
        <v>27832.397499735234</v>
      </c>
    </row>
    <row r="26" spans="2:15" x14ac:dyDescent="0.2">
      <c r="B26" s="42" t="s">
        <v>14</v>
      </c>
      <c r="E26" s="47">
        <v>45000</v>
      </c>
      <c r="F26" s="42">
        <v>45000</v>
      </c>
      <c r="H26" s="42" t="s">
        <v>35</v>
      </c>
      <c r="I26" s="47">
        <f>E27*N13</f>
        <v>569996.82169721369</v>
      </c>
      <c r="K26" s="42">
        <v>540000</v>
      </c>
      <c r="L26" s="47">
        <f t="shared" si="3"/>
        <v>29996.821697213687</v>
      </c>
    </row>
    <row r="27" spans="2:15" x14ac:dyDescent="0.2">
      <c r="B27" s="42" t="s">
        <v>148</v>
      </c>
      <c r="E27" s="47">
        <f>E23-E25-E26</f>
        <v>8820000</v>
      </c>
      <c r="H27" s="42" t="s">
        <v>140</v>
      </c>
      <c r="I27" s="47">
        <f>E27*N14</f>
        <v>1091403.7503972878</v>
      </c>
      <c r="K27" s="42">
        <v>1080000</v>
      </c>
      <c r="L27" s="47">
        <f t="shared" si="3"/>
        <v>11403.750397287775</v>
      </c>
    </row>
    <row r="28" spans="2:15" x14ac:dyDescent="0.2">
      <c r="H28" s="42" t="s">
        <v>0</v>
      </c>
      <c r="I28" s="47">
        <f>SUM(I23:I27)</f>
        <v>8820000</v>
      </c>
      <c r="K28" s="47">
        <f>SUM(K23:K27)</f>
        <v>8820000</v>
      </c>
    </row>
  </sheetData>
  <pageMargins left="0.70866141732283472" right="0.70866141732283472" top="0.74803149606299213" bottom="0.74803149606299213" header="0.31496062992125984" footer="0.31496062992125984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Költségvetés</vt:lpstr>
      <vt:lpstr>1.mell.Kiadások</vt:lpstr>
      <vt:lpstr>2.mell.Bevételek</vt:lpstr>
      <vt:lpstr>Arányszámok</vt:lpstr>
      <vt:lpstr>'1.mell.Kiadások'!Nyomtatási_terület</vt:lpstr>
      <vt:lpstr>'2.mell.Bevételek'!Nyomtatási_terület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Pénzügy1</dc:creator>
  <cp:lastModifiedBy>Pénzügy1</cp:lastModifiedBy>
  <cp:lastPrinted>2025-11-03T09:44:08Z</cp:lastPrinted>
  <dcterms:created xsi:type="dcterms:W3CDTF">2014-11-10T08:15:58Z</dcterms:created>
  <dcterms:modified xsi:type="dcterms:W3CDTF">2025-11-03T09:44:30Z</dcterms:modified>
</cp:coreProperties>
</file>